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vaudreuil-my.sharepoint.com/personal/info_servaudreuil_net/Documents/Documents/SERV/Formules/"/>
    </mc:Choice>
  </mc:AlternateContent>
  <xr:revisionPtr revIDLastSave="0" documentId="8_{ACFA2293-DE29-4BFE-A153-FD2F65CBA806}" xr6:coauthVersionLast="47" xr6:coauthVersionMax="47" xr10:uidLastSave="{00000000-0000-0000-0000-000000000000}"/>
  <bookViews>
    <workbookView xWindow="-120" yWindow="-120" windowWidth="29040" windowHeight="15720" tabRatio="828" activeTab="3" xr2:uid="{00000000-000D-0000-FFFF-FFFF00000000}"/>
  </bookViews>
  <sheets>
    <sheet name="pondération non défavorisé" sheetId="1" r:id="rId1"/>
    <sheet name="pondération défavorisé" sheetId="4" r:id="rId2"/>
    <sheet name="ann. 21 " sheetId="2" r:id="rId3"/>
    <sheet name="ann. 18 présc-prim" sheetId="5" r:id="rId4"/>
    <sheet name="ann. 18 sec-fp" sheetId="3" r:id="rId5"/>
    <sheet name="déterm.nbr élèves -présco" sheetId="9" r:id="rId6"/>
    <sheet name="déterm.nbr élèves - multiage" sheetId="12" r:id="rId7"/>
    <sheet name="déterm. nbre élèves- prim Non-D" sheetId="6" r:id="rId8"/>
    <sheet name="déterm.nbr élèves - GPAÉ Non-D" sheetId="10" r:id="rId9"/>
    <sheet name="déterm. nbr élèves - prim déf." sheetId="7" r:id="rId10"/>
    <sheet name="déterm.nbre élèves -sec" sheetId="8" r:id="rId11"/>
    <sheet name="formules annexe 18" sheetId="15" state="hidden" r:id="rId12"/>
    <sheet name="données multiage" sheetId="13" state="hidden" r:id="rId13"/>
    <sheet name="type GPAE non defav" sheetId="11" state="hidden" r:id="rId14"/>
    <sheet name="feuil4" sheetId="14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5" l="1"/>
  <c r="E2" i="15"/>
  <c r="D2" i="15"/>
  <c r="G15" i="3"/>
  <c r="G18" i="3" s="1"/>
  <c r="G22" i="3" s="1"/>
  <c r="G11" i="3"/>
  <c r="G16" i="5"/>
  <c r="G11" i="5"/>
  <c r="G20" i="5" s="1"/>
  <c r="F7" i="15"/>
  <c r="E7" i="15"/>
  <c r="D7" i="15"/>
  <c r="F6" i="15"/>
  <c r="E6" i="15"/>
  <c r="D6" i="15"/>
  <c r="F5" i="15"/>
  <c r="E5" i="15"/>
  <c r="D5" i="15"/>
  <c r="F4" i="15"/>
  <c r="E4" i="15"/>
  <c r="D4" i="15"/>
  <c r="F3" i="15"/>
  <c r="E3" i="15"/>
  <c r="D3" i="15"/>
  <c r="D17" i="6"/>
  <c r="D16" i="6"/>
  <c r="D15" i="6"/>
  <c r="D14" i="6"/>
  <c r="D13" i="6"/>
  <c r="D12" i="6"/>
  <c r="D11" i="6"/>
  <c r="D10" i="6"/>
  <c r="D9" i="6"/>
  <c r="D8" i="6"/>
  <c r="D7" i="6"/>
  <c r="D18" i="6"/>
  <c r="D20" i="6"/>
  <c r="D19" i="6"/>
  <c r="D19" i="8"/>
  <c r="D18" i="8"/>
  <c r="D14" i="8"/>
  <c r="D15" i="8"/>
  <c r="D16" i="8"/>
  <c r="D17" i="8"/>
  <c r="D13" i="8"/>
  <c r="D8" i="8"/>
  <c r="D9" i="8"/>
  <c r="D10" i="8"/>
  <c r="D11" i="8"/>
  <c r="D12" i="8"/>
  <c r="D7" i="8"/>
  <c r="D20" i="7"/>
  <c r="D19" i="7"/>
  <c r="D18" i="9"/>
  <c r="D9" i="9"/>
  <c r="D10" i="9"/>
  <c r="D11" i="9"/>
  <c r="D12" i="9"/>
  <c r="D13" i="9"/>
  <c r="D14" i="9"/>
  <c r="D15" i="9"/>
  <c r="D16" i="9"/>
  <c r="D17" i="9"/>
  <c r="D8" i="9"/>
  <c r="D7" i="9"/>
  <c r="D8" i="10"/>
  <c r="F8" i="10" s="1"/>
  <c r="D9" i="10"/>
  <c r="F9" i="10" s="1"/>
  <c r="D10" i="10"/>
  <c r="F10" i="10" s="1"/>
  <c r="D11" i="10"/>
  <c r="F11" i="10" s="1"/>
  <c r="D12" i="10"/>
  <c r="D13" i="10"/>
  <c r="F13" i="10" s="1"/>
  <c r="D14" i="10"/>
  <c r="F14" i="10" s="1"/>
  <c r="D15" i="10"/>
  <c r="F15" i="10" s="1"/>
  <c r="D16" i="10"/>
  <c r="D17" i="10"/>
  <c r="D18" i="10"/>
  <c r="D19" i="10"/>
  <c r="F19" i="10" s="1"/>
  <c r="D20" i="10"/>
  <c r="F20" i="10" s="1"/>
  <c r="D21" i="10"/>
  <c r="F21" i="10" s="1"/>
  <c r="D7" i="10"/>
  <c r="F7" i="10" s="1"/>
  <c r="D8" i="12"/>
  <c r="F8" i="12" s="1"/>
  <c r="D9" i="12"/>
  <c r="F9" i="12" s="1"/>
  <c r="D10" i="12"/>
  <c r="F10" i="12" s="1"/>
  <c r="D11" i="12"/>
  <c r="F11" i="12" s="1"/>
  <c r="D12" i="12"/>
  <c r="F12" i="12" s="1"/>
  <c r="D13" i="12"/>
  <c r="F13" i="12" s="1"/>
  <c r="D14" i="12"/>
  <c r="F14" i="12" s="1"/>
  <c r="D15" i="12"/>
  <c r="F15" i="12" s="1"/>
  <c r="D16" i="12"/>
  <c r="F16" i="12" s="1"/>
  <c r="D17" i="12"/>
  <c r="F17" i="12" s="1"/>
  <c r="D18" i="12"/>
  <c r="F18" i="12" s="1"/>
  <c r="D19" i="12"/>
  <c r="F19" i="12" s="1"/>
  <c r="D20" i="12"/>
  <c r="F20" i="12" s="1"/>
  <c r="D21" i="12"/>
  <c r="F21" i="12" s="1"/>
  <c r="D7" i="12"/>
  <c r="F7" i="12" s="1"/>
  <c r="F16" i="10"/>
  <c r="F17" i="10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7" i="12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7" i="10"/>
  <c r="F6" i="10"/>
  <c r="F6" i="12"/>
  <c r="D8" i="7"/>
  <c r="D9" i="7"/>
  <c r="D10" i="7"/>
  <c r="D11" i="7"/>
  <c r="D12" i="7"/>
  <c r="D13" i="7"/>
  <c r="D14" i="7"/>
  <c r="D15" i="7"/>
  <c r="D16" i="7"/>
  <c r="D17" i="7"/>
  <c r="D18" i="7"/>
  <c r="D7" i="7"/>
  <c r="F12" i="10"/>
  <c r="F18" i="10"/>
  <c r="F22" i="12" l="1"/>
  <c r="F23" i="12" s="1"/>
  <c r="F22" i="10"/>
  <c r="F23" i="10" s="1"/>
  <c r="D11" i="4" l="1"/>
  <c r="C11" i="4"/>
  <c r="D11" i="1"/>
  <c r="C11" i="1"/>
  <c r="D6" i="9"/>
  <c r="D6" i="8"/>
  <c r="N19" i="1"/>
  <c r="O19" i="1"/>
  <c r="P19" i="1"/>
  <c r="Q19" i="1"/>
  <c r="M19" i="1"/>
  <c r="N19" i="4"/>
  <c r="O19" i="4"/>
  <c r="P19" i="4"/>
  <c r="Q19" i="4"/>
  <c r="M19" i="4"/>
  <c r="F19" i="4"/>
  <c r="G19" i="4"/>
  <c r="H19" i="4"/>
  <c r="I19" i="4"/>
  <c r="J19" i="4"/>
  <c r="K19" i="4"/>
  <c r="D6" i="7"/>
  <c r="F19" i="1"/>
  <c r="G19" i="1"/>
  <c r="H19" i="1"/>
  <c r="I19" i="1"/>
  <c r="J19" i="1"/>
  <c r="K19" i="1"/>
  <c r="D6" i="6"/>
  <c r="P22" i="2"/>
  <c r="P15" i="2"/>
  <c r="N9" i="2"/>
  <c r="D19" i="9" l="1"/>
  <c r="D20" i="9" s="1"/>
  <c r="D21" i="7"/>
  <c r="D22" i="7" s="1"/>
  <c r="B11" i="3"/>
  <c r="B11" i="5"/>
  <c r="B15" i="3" l="1"/>
  <c r="B18" i="3" s="1"/>
  <c r="B22" i="3" s="1"/>
  <c r="B25" i="3" s="1"/>
  <c r="B16" i="5"/>
  <c r="B20" i="5" s="1"/>
  <c r="B23" i="5" s="1"/>
  <c r="E23" i="3" l="1"/>
  <c r="E21" i="5"/>
  <c r="C18" i="1"/>
  <c r="C16" i="1"/>
  <c r="C15" i="1"/>
  <c r="C14" i="1"/>
  <c r="C13" i="1"/>
  <c r="C12" i="1"/>
  <c r="C10" i="1"/>
  <c r="C9" i="1"/>
  <c r="C8" i="1"/>
  <c r="C7" i="1"/>
  <c r="C18" i="4"/>
  <c r="C12" i="4"/>
  <c r="C13" i="4"/>
  <c r="C14" i="4"/>
  <c r="C15" i="4"/>
  <c r="C16" i="4"/>
  <c r="C7" i="4"/>
  <c r="C8" i="4"/>
  <c r="C9" i="4"/>
  <c r="C10" i="4"/>
  <c r="Q18" i="4"/>
  <c r="P18" i="4"/>
  <c r="O18" i="4"/>
  <c r="N18" i="4"/>
  <c r="M18" i="4"/>
  <c r="K18" i="4"/>
  <c r="J18" i="4"/>
  <c r="I18" i="4"/>
  <c r="H18" i="4"/>
  <c r="G18" i="4"/>
  <c r="F18" i="4"/>
  <c r="D18" i="4"/>
  <c r="Q16" i="4"/>
  <c r="P16" i="4"/>
  <c r="O16" i="4"/>
  <c r="N16" i="4"/>
  <c r="M16" i="4"/>
  <c r="K16" i="4"/>
  <c r="J16" i="4"/>
  <c r="I16" i="4"/>
  <c r="H16" i="4"/>
  <c r="G16" i="4"/>
  <c r="F16" i="4"/>
  <c r="D16" i="4"/>
  <c r="Q15" i="4"/>
  <c r="P15" i="4"/>
  <c r="O15" i="4"/>
  <c r="N15" i="4"/>
  <c r="M15" i="4"/>
  <c r="K15" i="4"/>
  <c r="J15" i="4"/>
  <c r="I15" i="4"/>
  <c r="H15" i="4"/>
  <c r="G15" i="4"/>
  <c r="F15" i="4"/>
  <c r="D15" i="4"/>
  <c r="Q14" i="4"/>
  <c r="P14" i="4"/>
  <c r="O14" i="4"/>
  <c r="N14" i="4"/>
  <c r="M14" i="4"/>
  <c r="K14" i="4"/>
  <c r="J14" i="4"/>
  <c r="I14" i="4"/>
  <c r="H14" i="4"/>
  <c r="G14" i="4"/>
  <c r="F14" i="4"/>
  <c r="D14" i="4"/>
  <c r="Q13" i="4"/>
  <c r="P13" i="4"/>
  <c r="O13" i="4"/>
  <c r="N13" i="4"/>
  <c r="M13" i="4"/>
  <c r="K13" i="4"/>
  <c r="J13" i="4"/>
  <c r="I13" i="4"/>
  <c r="H13" i="4"/>
  <c r="G13" i="4"/>
  <c r="F13" i="4"/>
  <c r="D13" i="4"/>
  <c r="Q12" i="4"/>
  <c r="P12" i="4"/>
  <c r="O12" i="4"/>
  <c r="N12" i="4"/>
  <c r="M12" i="4"/>
  <c r="K12" i="4"/>
  <c r="J12" i="4"/>
  <c r="I12" i="4"/>
  <c r="H12" i="4"/>
  <c r="G12" i="4"/>
  <c r="F12" i="4"/>
  <c r="D12" i="4"/>
  <c r="K11" i="4"/>
  <c r="J11" i="4"/>
  <c r="I11" i="4"/>
  <c r="H11" i="4"/>
  <c r="G11" i="4"/>
  <c r="F11" i="4"/>
  <c r="Q10" i="4"/>
  <c r="P10" i="4"/>
  <c r="O10" i="4"/>
  <c r="N10" i="4"/>
  <c r="M10" i="4"/>
  <c r="K10" i="4"/>
  <c r="J10" i="4"/>
  <c r="I10" i="4"/>
  <c r="H10" i="4"/>
  <c r="G10" i="4"/>
  <c r="F10" i="4"/>
  <c r="D10" i="4"/>
  <c r="Q9" i="4"/>
  <c r="P9" i="4"/>
  <c r="O9" i="4"/>
  <c r="N9" i="4"/>
  <c r="M9" i="4"/>
  <c r="K9" i="4"/>
  <c r="J9" i="4"/>
  <c r="I9" i="4"/>
  <c r="H9" i="4"/>
  <c r="G9" i="4"/>
  <c r="F9" i="4"/>
  <c r="D9" i="4"/>
  <c r="Q8" i="4"/>
  <c r="P8" i="4"/>
  <c r="O8" i="4"/>
  <c r="N8" i="4"/>
  <c r="M8" i="4"/>
  <c r="K8" i="4"/>
  <c r="J8" i="4"/>
  <c r="I8" i="4"/>
  <c r="H8" i="4"/>
  <c r="G8" i="4"/>
  <c r="F8" i="4"/>
  <c r="D8" i="4"/>
  <c r="Q7" i="4"/>
  <c r="P7" i="4"/>
  <c r="O7" i="4"/>
  <c r="N7" i="4"/>
  <c r="M7" i="4"/>
  <c r="K7" i="4"/>
  <c r="J7" i="4"/>
  <c r="I7" i="4"/>
  <c r="H7" i="4"/>
  <c r="G7" i="4"/>
  <c r="F7" i="4"/>
  <c r="D7" i="4"/>
  <c r="Q6" i="4"/>
  <c r="P6" i="4"/>
  <c r="O6" i="4"/>
  <c r="N6" i="4"/>
  <c r="M6" i="4"/>
  <c r="K6" i="4"/>
  <c r="J6" i="4"/>
  <c r="I6" i="4"/>
  <c r="H6" i="4"/>
  <c r="G6" i="4"/>
  <c r="F6" i="4"/>
  <c r="Q5" i="4"/>
  <c r="P5" i="4"/>
  <c r="O5" i="4"/>
  <c r="N5" i="4"/>
  <c r="M5" i="4"/>
  <c r="K5" i="4"/>
  <c r="J5" i="4"/>
  <c r="I5" i="4"/>
  <c r="H5" i="4"/>
  <c r="G5" i="4"/>
  <c r="F5" i="4"/>
  <c r="D5" i="4"/>
  <c r="Q18" i="1" l="1"/>
  <c r="P18" i="1"/>
  <c r="O18" i="1"/>
  <c r="N18" i="1"/>
  <c r="M18" i="1"/>
  <c r="K18" i="1"/>
  <c r="J18" i="1"/>
  <c r="I18" i="1"/>
  <c r="H18" i="1"/>
  <c r="G18" i="1"/>
  <c r="F18" i="1"/>
  <c r="D18" i="1"/>
  <c r="Q16" i="1"/>
  <c r="P16" i="1"/>
  <c r="O16" i="1"/>
  <c r="N16" i="1"/>
  <c r="M16" i="1"/>
  <c r="K16" i="1"/>
  <c r="J16" i="1"/>
  <c r="I16" i="1"/>
  <c r="H16" i="1"/>
  <c r="G16" i="1"/>
  <c r="F16" i="1"/>
  <c r="D16" i="1"/>
  <c r="Q15" i="1"/>
  <c r="P15" i="1"/>
  <c r="O15" i="1"/>
  <c r="N15" i="1"/>
  <c r="M15" i="1"/>
  <c r="K15" i="1"/>
  <c r="J15" i="1"/>
  <c r="I15" i="1"/>
  <c r="H15" i="1"/>
  <c r="G15" i="1"/>
  <c r="F15" i="1"/>
  <c r="D15" i="1"/>
  <c r="Q14" i="1"/>
  <c r="P14" i="1"/>
  <c r="O14" i="1"/>
  <c r="N14" i="1"/>
  <c r="M14" i="1"/>
  <c r="K14" i="1"/>
  <c r="J14" i="1"/>
  <c r="I14" i="1"/>
  <c r="H14" i="1"/>
  <c r="G14" i="1"/>
  <c r="F14" i="1"/>
  <c r="D14" i="1"/>
  <c r="Q13" i="1"/>
  <c r="P13" i="1"/>
  <c r="O13" i="1"/>
  <c r="N13" i="1"/>
  <c r="M13" i="1"/>
  <c r="K13" i="1"/>
  <c r="J13" i="1"/>
  <c r="I13" i="1"/>
  <c r="H13" i="1"/>
  <c r="G13" i="1"/>
  <c r="F13" i="1"/>
  <c r="D13" i="1"/>
  <c r="Q12" i="1"/>
  <c r="P12" i="1"/>
  <c r="O12" i="1"/>
  <c r="N12" i="1"/>
  <c r="M12" i="1"/>
  <c r="K12" i="1"/>
  <c r="J12" i="1"/>
  <c r="I12" i="1"/>
  <c r="H12" i="1"/>
  <c r="G12" i="1"/>
  <c r="F12" i="1"/>
  <c r="D12" i="1"/>
  <c r="K11" i="1"/>
  <c r="J11" i="1"/>
  <c r="I11" i="1"/>
  <c r="H11" i="1"/>
  <c r="G11" i="1"/>
  <c r="F11" i="1"/>
  <c r="Q10" i="1"/>
  <c r="P10" i="1"/>
  <c r="O10" i="1"/>
  <c r="N10" i="1"/>
  <c r="M10" i="1"/>
  <c r="K10" i="1"/>
  <c r="J10" i="1"/>
  <c r="I10" i="1"/>
  <c r="H10" i="1"/>
  <c r="G10" i="1"/>
  <c r="F10" i="1"/>
  <c r="D10" i="1"/>
  <c r="Q9" i="1"/>
  <c r="P9" i="1"/>
  <c r="O9" i="1"/>
  <c r="N9" i="1"/>
  <c r="M9" i="1"/>
  <c r="K9" i="1"/>
  <c r="J9" i="1"/>
  <c r="I9" i="1"/>
  <c r="H9" i="1"/>
  <c r="G9" i="1"/>
  <c r="F9" i="1"/>
  <c r="D9" i="1"/>
  <c r="Q8" i="1"/>
  <c r="P8" i="1"/>
  <c r="O8" i="1"/>
  <c r="N8" i="1"/>
  <c r="M8" i="1"/>
  <c r="K8" i="1"/>
  <c r="J8" i="1"/>
  <c r="I8" i="1"/>
  <c r="H8" i="1"/>
  <c r="G8" i="1"/>
  <c r="F8" i="1"/>
  <c r="D8" i="1"/>
  <c r="Q7" i="1"/>
  <c r="P7" i="1"/>
  <c r="O7" i="1"/>
  <c r="N7" i="1"/>
  <c r="M7" i="1"/>
  <c r="K7" i="1"/>
  <c r="J7" i="1"/>
  <c r="I7" i="1"/>
  <c r="H7" i="1"/>
  <c r="G7" i="1"/>
  <c r="F7" i="1"/>
  <c r="D7" i="1"/>
  <c r="Q6" i="1"/>
  <c r="P6" i="1"/>
  <c r="O6" i="1"/>
  <c r="N6" i="1"/>
  <c r="M6" i="1"/>
  <c r="K6" i="1"/>
  <c r="J6" i="1"/>
  <c r="I6" i="1"/>
  <c r="H6" i="1"/>
  <c r="G6" i="1"/>
  <c r="F6" i="1"/>
  <c r="Q5" i="1"/>
  <c r="P5" i="1"/>
  <c r="O5" i="1"/>
  <c r="N5" i="1"/>
  <c r="M5" i="1"/>
  <c r="K5" i="1"/>
  <c r="J5" i="1"/>
  <c r="I5" i="1"/>
  <c r="H5" i="1"/>
  <c r="G5" i="1"/>
  <c r="F5" i="1"/>
  <c r="D5" i="1"/>
  <c r="D21" i="6" l="1"/>
  <c r="D22" i="6" s="1"/>
  <c r="D20" i="8"/>
  <c r="D21" i="8" s="1"/>
</calcChain>
</file>

<file path=xl/sharedStrings.xml><?xml version="1.0" encoding="utf-8"?>
<sst xmlns="http://schemas.openxmlformats.org/spreadsheetml/2006/main" count="343" uniqueCount="132">
  <si>
    <t>Pondérations pour les milieux non défavorisés</t>
  </si>
  <si>
    <t>Préscolaire</t>
  </si>
  <si>
    <t>Primaire</t>
  </si>
  <si>
    <t>Secondaire</t>
  </si>
  <si>
    <t>Catégories</t>
  </si>
  <si>
    <t>4 ans</t>
  </si>
  <si>
    <t>5 ans</t>
  </si>
  <si>
    <t>1ère</t>
  </si>
  <si>
    <t>2e</t>
  </si>
  <si>
    <t>3e</t>
  </si>
  <si>
    <t>4e</t>
  </si>
  <si>
    <t>5e</t>
  </si>
  <si>
    <t>6e</t>
  </si>
  <si>
    <t>TC</t>
  </si>
  <si>
    <t>TGC</t>
  </si>
  <si>
    <t>DIP</t>
  </si>
  <si>
    <t>DIS, DIM</t>
  </si>
  <si>
    <t>DMotriceL</t>
  </si>
  <si>
    <t>Dlangagière</t>
  </si>
  <si>
    <t>34*</t>
  </si>
  <si>
    <t>Dlangagière sévère</t>
  </si>
  <si>
    <t>DmotriceG</t>
  </si>
  <si>
    <t>Dvisuelle</t>
  </si>
  <si>
    <t>Dauditive</t>
  </si>
  <si>
    <t>TED/TSA</t>
  </si>
  <si>
    <t>TRP</t>
  </si>
  <si>
    <t>handicap reconnu</t>
  </si>
  <si>
    <t>Déficience atypique</t>
  </si>
  <si>
    <t>DA</t>
  </si>
  <si>
    <t>Difficulté d'apprentissage</t>
  </si>
  <si>
    <t>Pondérations pour les milieux défavorisés</t>
  </si>
  <si>
    <t>Handicap reconnu</t>
  </si>
  <si>
    <t>Tableaux pour déterminer le nouveau maximum dans une classe spéciale (cela inclus le cheminement particulier de type temporaire) lorsqu'elle est hétérogène</t>
  </si>
  <si>
    <t>Maternelle</t>
  </si>
  <si>
    <t>Déficience motrice légère</t>
  </si>
  <si>
    <t>DIS et DIM</t>
  </si>
  <si>
    <t>Déficience langagière</t>
  </si>
  <si>
    <t>Déficience langagière sévère</t>
  </si>
  <si>
    <t>Déficience motrice grave</t>
  </si>
  <si>
    <t>Troubles relevant de la psychopatologie</t>
  </si>
  <si>
    <t>Déficience auditive</t>
  </si>
  <si>
    <t>Déficience visuelle</t>
  </si>
  <si>
    <t>Nouveau maximum</t>
  </si>
  <si>
    <t>Codes</t>
  </si>
  <si>
    <t>Maximum</t>
  </si>
  <si>
    <t>Nombre d'élèves de cette catégorie dans la classe</t>
  </si>
  <si>
    <t>Cheminement temporaire</t>
  </si>
  <si>
    <t>Préscolaire et Primaire</t>
  </si>
  <si>
    <t>Détermination de la compensation financière lorsqu'il y a dépassement du maximum d'élèves</t>
  </si>
  <si>
    <t>Année scolaire</t>
  </si>
  <si>
    <t>2021-2022</t>
  </si>
  <si>
    <t>Dépassement dans les 140 premières journées de l'année de travail</t>
  </si>
  <si>
    <t>Dépassement dans les 60 dernières journées de l'année de travail</t>
  </si>
  <si>
    <t>Moyenne du groupe</t>
  </si>
  <si>
    <t>Nombre d'élèves en dépassement dans le groupe</t>
  </si>
  <si>
    <t>N</t>
  </si>
  <si>
    <t>Nombre d'heures par cycle au préscolaire et au primaire où le nombre d'élève inscrit est en dépassement</t>
  </si>
  <si>
    <t>Nombre de jours d'enseignement prévu au calendrier scolaire pour lesquels la situation de dépassement existe</t>
  </si>
  <si>
    <t>Durée d'un cycle (5, 6, 9, 10, etc.)</t>
  </si>
  <si>
    <t>D</t>
  </si>
  <si>
    <t>Compensation pour dépassement des maxima sans tenir compte du maximum annuel</t>
  </si>
  <si>
    <t>C  (lorsque le dépassement se situe dans les 140 premières journées de l'année de travail)</t>
  </si>
  <si>
    <t>C  (lorsque le dépassement se situe dans les 60 dernières journées de l'année de travail)</t>
  </si>
  <si>
    <t xml:space="preserve">Total C </t>
  </si>
  <si>
    <t>Compensation réelle pour dépassement des maxima</t>
  </si>
  <si>
    <t>C réeel</t>
  </si>
  <si>
    <t>Secondaire et FP</t>
  </si>
  <si>
    <t>Nombre de périodes dans le cycle où il y a dépassement d'élèves inscrits</t>
  </si>
  <si>
    <t>Durée en minutes d'une période</t>
  </si>
  <si>
    <t>Conversion en nombre de période de 50 minutes</t>
  </si>
  <si>
    <t>Total C</t>
  </si>
  <si>
    <t>Tableau pour déterminer si la classe ordinaire du préscolaire comporte un dépassement du nombre d'élèves prévu par la convention</t>
  </si>
  <si>
    <t>Type de classe et d'école:</t>
  </si>
  <si>
    <t>Préscolaire 4 ans école défavorisée</t>
  </si>
  <si>
    <t>Nombre</t>
  </si>
  <si>
    <t>Calculs</t>
  </si>
  <si>
    <t>Élève ordinaire</t>
  </si>
  <si>
    <t>DIP pondérée</t>
  </si>
  <si>
    <t>DIS ou DIM pondérée</t>
  </si>
  <si>
    <t>DMotriceL pondérée</t>
  </si>
  <si>
    <t>Dlangagière pondérée</t>
  </si>
  <si>
    <t>Dlangagière sévère pondérée</t>
  </si>
  <si>
    <t>DmotricesG pondérée</t>
  </si>
  <si>
    <t>Dvisuelle pondérée</t>
  </si>
  <si>
    <t>Dauditives pondérée</t>
  </si>
  <si>
    <t>TED/TSA*</t>
  </si>
  <si>
    <t>Troubles relevant de la psychopatologie*</t>
  </si>
  <si>
    <t>Déficience atypique pondérée</t>
  </si>
  <si>
    <t>Total</t>
  </si>
  <si>
    <t>Dépassement</t>
  </si>
  <si>
    <t>* La pondération à priori s'applique sauf si l'élève (ou son identification) arrive après la 1ère journée de classe. Cependant, si la pondération à priori n'est pas applicable, l'élève peut quand même être pondéré si le service n'est pas suffisant.</t>
  </si>
  <si>
    <t>Tableau pour déterminer si la classe ordinaire comporte un dépassement du nombre d'élèves prévu par la convention dans une classe multiâge au préscolaire</t>
  </si>
  <si>
    <t>Type d'école:</t>
  </si>
  <si>
    <t>École défavorisée</t>
  </si>
  <si>
    <t>Type d'élève</t>
  </si>
  <si>
    <t>Âge</t>
  </si>
  <si>
    <t>Pondération par élève</t>
  </si>
  <si>
    <t>Nombre d'élèves</t>
  </si>
  <si>
    <t>Tableau pour déterminer si la classe ordinaire comporte un dépassement du nombre d'élèves prévu par la convention dans une école primaire non défavorisée</t>
  </si>
  <si>
    <t>Année d'études:</t>
  </si>
  <si>
    <t>Difficulté d'apprentissage pondérée</t>
  </si>
  <si>
    <t>Tableau pour déterminer si un GPAÉ comporte un dépassement du nombre d'élèves prévu par la convention dans une école primaire non défavorisée</t>
  </si>
  <si>
    <t>Quel est le type de GPAE:</t>
  </si>
  <si>
    <t>GPAE 1-2</t>
  </si>
  <si>
    <t>Année d'études</t>
  </si>
  <si>
    <t>Tableau pour déterminer si la classe ordinaire comporte un dépassement du nombre d'élèves prévu par la convention dans une école primaire défavorisée</t>
  </si>
  <si>
    <t>Type de classe:</t>
  </si>
  <si>
    <t>Classe régulière</t>
  </si>
  <si>
    <t>Tableau pour déterminer si la classe ordinaire comporte un dépassement du nombre d'élèves prévu par la convention dans une école secondaire</t>
  </si>
  <si>
    <t>2022-2023</t>
  </si>
  <si>
    <t>2023-2024</t>
  </si>
  <si>
    <t>2024-2025</t>
  </si>
  <si>
    <t>2025-2026</t>
  </si>
  <si>
    <t>2026-2027</t>
  </si>
  <si>
    <t>2027-</t>
  </si>
  <si>
    <t>École non défavorisée</t>
  </si>
  <si>
    <t>Préscolaire 4 ans école non défavorisée</t>
  </si>
  <si>
    <t>Préscolaire 5 ans école non défavorisée</t>
  </si>
  <si>
    <t>Préscolaire 5 ans école défavorisée</t>
  </si>
  <si>
    <t>multiage 4-5</t>
  </si>
  <si>
    <t>GPAE 1-2-3</t>
  </si>
  <si>
    <t>GPAE 1-2-3-4</t>
  </si>
  <si>
    <t>GPAE 2-3</t>
  </si>
  <si>
    <t>GPAE 2-3-4</t>
  </si>
  <si>
    <t>GPAE 2-3-4-5</t>
  </si>
  <si>
    <t>GPAE 3-4</t>
  </si>
  <si>
    <t>GPAE 3-4-5</t>
  </si>
  <si>
    <t>GPAE 3-4-5-6</t>
  </si>
  <si>
    <t>GPAE 4-5</t>
  </si>
  <si>
    <t>GPAE 4-5-6</t>
  </si>
  <si>
    <t>GPAE 5-6</t>
  </si>
  <si>
    <t>GPAÉ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</si>
</sst>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2"/>
      <color theme="0" tint="-0.49998474074526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1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0" borderId="15" xfId="0" applyFont="1" applyBorder="1"/>
    <xf numFmtId="0" fontId="0" fillId="0" borderId="16" xfId="0" applyBorder="1" applyAlignment="1">
      <alignment wrapText="1"/>
    </xf>
    <xf numFmtId="0" fontId="0" fillId="2" borderId="20" xfId="0" applyFill="1" applyBorder="1"/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0" xfId="0" applyNumberFormat="1"/>
    <xf numFmtId="2" fontId="0" fillId="0" borderId="3" xfId="0" applyNumberFormat="1" applyBorder="1"/>
    <xf numFmtId="2" fontId="0" fillId="0" borderId="5" xfId="0" applyNumberFormat="1" applyBorder="1"/>
    <xf numFmtId="2" fontId="0" fillId="0" borderId="1" xfId="0" applyNumberFormat="1" applyBorder="1"/>
    <xf numFmtId="0" fontId="0" fillId="0" borderId="3" xfId="0" applyBorder="1"/>
    <xf numFmtId="0" fontId="1" fillId="0" borderId="22" xfId="0" applyFont="1" applyBorder="1"/>
    <xf numFmtId="0" fontId="0" fillId="0" borderId="0" xfId="0" applyAlignment="1">
      <alignment horizontal="center"/>
    </xf>
    <xf numFmtId="0" fontId="1" fillId="0" borderId="23" xfId="0" applyFont="1" applyBorder="1"/>
    <xf numFmtId="0" fontId="0" fillId="0" borderId="0" xfId="0" applyAlignment="1">
      <alignment horizontal="center" wrapText="1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4" fontId="5" fillId="2" borderId="0" xfId="1" applyFont="1" applyFill="1"/>
    <xf numFmtId="0" fontId="5" fillId="0" borderId="0" xfId="0" applyFont="1"/>
    <xf numFmtId="2" fontId="0" fillId="0" borderId="31" xfId="0" applyNumberFormat="1" applyBorder="1"/>
    <xf numFmtId="2" fontId="0" fillId="0" borderId="32" xfId="0" applyNumberFormat="1" applyBorder="1"/>
    <xf numFmtId="2" fontId="0" fillId="0" borderId="2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10" xfId="0" applyNumberFormat="1" applyBorder="1"/>
    <xf numFmtId="0" fontId="0" fillId="0" borderId="11" xfId="0" applyBorder="1"/>
    <xf numFmtId="2" fontId="0" fillId="0" borderId="11" xfId="0" applyNumberFormat="1" applyBorder="1"/>
    <xf numFmtId="0" fontId="0" fillId="0" borderId="9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35" xfId="0" applyFont="1" applyBorder="1"/>
    <xf numFmtId="0" fontId="1" fillId="0" borderId="24" xfId="0" applyFont="1" applyBorder="1"/>
    <xf numFmtId="0" fontId="0" fillId="0" borderId="35" xfId="0" applyBorder="1"/>
    <xf numFmtId="0" fontId="0" fillId="0" borderId="0" xfId="0" applyAlignment="1" applyProtection="1">
      <alignment horizontal="center" wrapText="1"/>
      <protection locked="0"/>
    </xf>
    <xf numFmtId="0" fontId="0" fillId="3" borderId="1" xfId="0" applyFill="1" applyBorder="1"/>
    <xf numFmtId="0" fontId="1" fillId="0" borderId="36" xfId="0" applyFont="1" applyBorder="1"/>
    <xf numFmtId="0" fontId="0" fillId="3" borderId="3" xfId="0" applyFill="1" applyBorder="1"/>
    <xf numFmtId="0" fontId="1" fillId="0" borderId="21" xfId="0" applyFont="1" applyBorder="1"/>
    <xf numFmtId="0" fontId="1" fillId="0" borderId="27" xfId="0" applyFont="1" applyBorder="1"/>
    <xf numFmtId="0" fontId="1" fillId="0" borderId="37" xfId="0" applyFont="1" applyBorder="1"/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38" xfId="0" applyBorder="1"/>
    <xf numFmtId="0" fontId="0" fillId="0" borderId="40" xfId="0" applyBorder="1" applyAlignment="1">
      <alignment horizontal="center"/>
    </xf>
    <xf numFmtId="0" fontId="0" fillId="0" borderId="40" xfId="0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2" xfId="0" applyBorder="1"/>
    <xf numFmtId="0" fontId="1" fillId="0" borderId="17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0" fillId="3" borderId="7" xfId="0" applyFill="1" applyBorder="1" applyAlignment="1">
      <alignment horizontal="right"/>
    </xf>
    <xf numFmtId="0" fontId="0" fillId="0" borderId="5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0" borderId="12" xfId="0" applyBorder="1" applyProtection="1">
      <protection locked="0"/>
    </xf>
    <xf numFmtId="0" fontId="1" fillId="0" borderId="27" xfId="0" applyFont="1" applyBorder="1" applyProtection="1">
      <protection locked="0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/>
    <xf numFmtId="0" fontId="0" fillId="3" borderId="0" xfId="0" applyFill="1"/>
    <xf numFmtId="0" fontId="0" fillId="3" borderId="5" xfId="0" applyFill="1" applyBorder="1"/>
    <xf numFmtId="2" fontId="0" fillId="3" borderId="5" xfId="0" applyNumberFormat="1" applyFill="1" applyBorder="1"/>
    <xf numFmtId="2" fontId="0" fillId="3" borderId="1" xfId="0" applyNumberFormat="1" applyFill="1" applyBorder="1"/>
    <xf numFmtId="2" fontId="0" fillId="3" borderId="6" xfId="0" applyNumberFormat="1" applyFill="1" applyBorder="1"/>
    <xf numFmtId="0" fontId="0" fillId="3" borderId="9" xfId="0" applyFill="1" applyBorder="1"/>
    <xf numFmtId="0" fontId="0" fillId="3" borderId="10" xfId="0" applyFill="1" applyBorder="1"/>
    <xf numFmtId="2" fontId="0" fillId="3" borderId="5" xfId="0" applyNumberFormat="1" applyFill="1" applyBorder="1" applyAlignment="1">
      <alignment horizontal="center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2" xfId="0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4" xfId="0" applyFont="1" applyBorder="1" applyAlignment="1">
      <alignment horizontal="left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4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2" fontId="0" fillId="3" borderId="5" xfId="0" applyNumberFormat="1" applyFill="1" applyBorder="1" applyAlignment="1">
      <alignment horizontal="center" wrapText="1"/>
    </xf>
    <xf numFmtId="2" fontId="0" fillId="3" borderId="0" xfId="0" applyNumberFormat="1" applyFill="1"/>
    <xf numFmtId="0" fontId="6" fillId="0" borderId="1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27" xfId="0" applyFont="1" applyFill="1" applyBorder="1"/>
    <xf numFmtId="0" fontId="1" fillId="2" borderId="27" xfId="0" applyFont="1" applyFill="1" applyBorder="1" applyAlignment="1">
      <alignment wrapText="1"/>
    </xf>
    <xf numFmtId="0" fontId="1" fillId="2" borderId="23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horizontal="left" wrapText="1"/>
    </xf>
    <xf numFmtId="0" fontId="1" fillId="2" borderId="22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wrapText="1"/>
    </xf>
    <xf numFmtId="0" fontId="1" fillId="2" borderId="34" xfId="0" applyFont="1" applyFill="1" applyBorder="1" applyAlignment="1">
      <alignment horizontal="left" wrapText="1"/>
    </xf>
    <xf numFmtId="0" fontId="1" fillId="2" borderId="26" xfId="0" applyFont="1" applyFill="1" applyBorder="1" applyAlignment="1">
      <alignment horizontal="left" wrapText="1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1" fillId="2" borderId="27" xfId="0" applyFont="1" applyFill="1" applyBorder="1" applyAlignment="1">
      <alignment horizontal="left"/>
    </xf>
    <xf numFmtId="0" fontId="1" fillId="2" borderId="50" xfId="0" applyFont="1" applyFill="1" applyBorder="1" applyAlignment="1">
      <alignment horizontal="left" wrapText="1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6" fillId="0" borderId="0" xfId="0" applyFont="1"/>
    <xf numFmtId="0" fontId="4" fillId="2" borderId="1" xfId="0" applyFont="1" applyFill="1" applyBorder="1"/>
    <xf numFmtId="0" fontId="0" fillId="2" borderId="10" xfId="0" applyFill="1" applyBorder="1"/>
    <xf numFmtId="0" fontId="0" fillId="0" borderId="31" xfId="0" applyBorder="1" applyAlignment="1">
      <alignment wrapText="1"/>
    </xf>
    <xf numFmtId="0" fontId="0" fillId="0" borderId="51" xfId="0" applyBorder="1"/>
    <xf numFmtId="0" fontId="1" fillId="0" borderId="46" xfId="0" applyFont="1" applyBorder="1" applyAlignment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1" fillId="2" borderId="52" xfId="0" applyFont="1" applyFill="1" applyBorder="1" applyAlignment="1">
      <alignment horizontal="left" wrapText="1"/>
    </xf>
    <xf numFmtId="2" fontId="8" fillId="4" borderId="7" xfId="0" applyNumberFormat="1" applyFont="1" applyFill="1" applyBorder="1"/>
    <xf numFmtId="44" fontId="0" fillId="2" borderId="0" xfId="1" applyFont="1" applyFill="1"/>
    <xf numFmtId="44" fontId="1" fillId="0" borderId="0" xfId="0" applyNumberFormat="1" applyFont="1"/>
    <xf numFmtId="0" fontId="6" fillId="0" borderId="0" xfId="0" applyFont="1" applyProtection="1">
      <protection locked="0"/>
    </xf>
    <xf numFmtId="0" fontId="2" fillId="0" borderId="2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opLeftCell="A2" zoomScale="70" zoomScaleNormal="70" workbookViewId="0">
      <selection activeCell="F29" sqref="F29"/>
    </sheetView>
  </sheetViews>
  <sheetFormatPr baseColWidth="10" defaultColWidth="11.5546875" defaultRowHeight="15" x14ac:dyDescent="0.2"/>
  <cols>
    <col min="2" max="2" width="16.109375" customWidth="1"/>
    <col min="4" max="4" width="12.77734375" customWidth="1"/>
    <col min="5" max="5" width="8.33203125" hidden="1" customWidth="1"/>
    <col min="12" max="12" width="0" hidden="1" customWidth="1"/>
  </cols>
  <sheetData>
    <row r="1" spans="1:17" hidden="1" x14ac:dyDescent="0.2">
      <c r="C1">
        <v>17</v>
      </c>
      <c r="D1">
        <v>19</v>
      </c>
      <c r="F1">
        <v>22</v>
      </c>
      <c r="G1">
        <v>24</v>
      </c>
      <c r="H1">
        <v>26</v>
      </c>
      <c r="I1">
        <v>26</v>
      </c>
      <c r="J1">
        <v>26</v>
      </c>
      <c r="K1">
        <v>26</v>
      </c>
      <c r="M1">
        <v>28</v>
      </c>
      <c r="N1">
        <v>29</v>
      </c>
      <c r="O1">
        <v>32</v>
      </c>
      <c r="P1">
        <v>32</v>
      </c>
      <c r="Q1">
        <v>32</v>
      </c>
    </row>
    <row r="2" spans="1:17" ht="24" thickBot="1" x14ac:dyDescent="0.4">
      <c r="C2" s="34" t="s">
        <v>0</v>
      </c>
    </row>
    <row r="3" spans="1:17" ht="21" thickBot="1" x14ac:dyDescent="0.35">
      <c r="C3" s="137" t="s">
        <v>1</v>
      </c>
      <c r="D3" s="139"/>
      <c r="F3" s="137" t="s">
        <v>2</v>
      </c>
      <c r="G3" s="138"/>
      <c r="H3" s="138"/>
      <c r="I3" s="138"/>
      <c r="J3" s="138"/>
      <c r="K3" s="139"/>
      <c r="M3" s="137" t="s">
        <v>3</v>
      </c>
      <c r="N3" s="138"/>
      <c r="O3" s="138"/>
      <c r="P3" s="138"/>
      <c r="Q3" s="139"/>
    </row>
    <row r="4" spans="1:17" ht="16.5" thickBot="1" x14ac:dyDescent="0.3">
      <c r="A4" s="140" t="s">
        <v>4</v>
      </c>
      <c r="B4" s="141"/>
      <c r="C4" s="29" t="s">
        <v>5</v>
      </c>
      <c r="D4" s="27" t="s">
        <v>6</v>
      </c>
      <c r="E4" s="47"/>
      <c r="F4" s="29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27" t="s">
        <v>12</v>
      </c>
      <c r="L4" s="49"/>
      <c r="M4" s="29" t="s">
        <v>7</v>
      </c>
      <c r="N4" s="48" t="s">
        <v>8</v>
      </c>
      <c r="O4" s="48" t="s">
        <v>9</v>
      </c>
      <c r="P4" s="48" t="s">
        <v>10</v>
      </c>
      <c r="Q4" s="27" t="s">
        <v>11</v>
      </c>
    </row>
    <row r="5" spans="1:17" ht="15.75" x14ac:dyDescent="0.25">
      <c r="A5" s="130">
        <v>12</v>
      </c>
      <c r="B5" s="88" t="s">
        <v>13</v>
      </c>
      <c r="C5" s="133">
        <v>1</v>
      </c>
      <c r="D5" s="21">
        <f>D1/10</f>
        <v>1.9</v>
      </c>
      <c r="E5" s="22">
        <v>12</v>
      </c>
      <c r="F5" s="20">
        <f>$F$1/E5</f>
        <v>1.8333333333333333</v>
      </c>
      <c r="G5" s="23">
        <f>$G$1/E5</f>
        <v>2</v>
      </c>
      <c r="H5" s="23">
        <f>$H$1/E5</f>
        <v>2.1666666666666665</v>
      </c>
      <c r="I5" s="23">
        <f>$I$1/E5</f>
        <v>2.1666666666666665</v>
      </c>
      <c r="J5" s="23">
        <f>$J$1/E5</f>
        <v>2.1666666666666665</v>
      </c>
      <c r="K5" s="21">
        <f>$K$1/E5</f>
        <v>2.1666666666666665</v>
      </c>
      <c r="L5" s="22">
        <v>14</v>
      </c>
      <c r="M5" s="20">
        <f>$M$1/L5</f>
        <v>2</v>
      </c>
      <c r="N5" s="23">
        <f>$N$1/L5</f>
        <v>2.0714285714285716</v>
      </c>
      <c r="O5" s="23">
        <f>$O$1/L5</f>
        <v>2.2857142857142856</v>
      </c>
      <c r="P5" s="23">
        <f>$P$1/L5</f>
        <v>2.2857142857142856</v>
      </c>
      <c r="Q5" s="21">
        <f>$Q$1/L5</f>
        <v>2.2857142857142856</v>
      </c>
    </row>
    <row r="6" spans="1:17" ht="15.75" x14ac:dyDescent="0.25">
      <c r="A6" s="94">
        <v>14</v>
      </c>
      <c r="B6" s="89" t="s">
        <v>14</v>
      </c>
      <c r="C6" s="87"/>
      <c r="D6" s="84"/>
      <c r="E6" s="22">
        <v>9</v>
      </c>
      <c r="F6" s="24">
        <f t="shared" ref="F6:F19" si="0">$F$1/E6</f>
        <v>2.4444444444444446</v>
      </c>
      <c r="G6" s="25">
        <f t="shared" ref="G6:G19" si="1">$G$1/E6</f>
        <v>2.6666666666666665</v>
      </c>
      <c r="H6" s="25">
        <f t="shared" ref="H6:H19" si="2">$H$1/E6</f>
        <v>2.8888888888888888</v>
      </c>
      <c r="I6" s="25">
        <f t="shared" ref="I6:I19" si="3">$I$1/E6</f>
        <v>2.8888888888888888</v>
      </c>
      <c r="J6" s="25">
        <f t="shared" ref="J6:J19" si="4">$J$1/E6</f>
        <v>2.8888888888888888</v>
      </c>
      <c r="K6" s="19">
        <f t="shared" ref="K6:K19" si="5">$K$1/E6</f>
        <v>2.8888888888888888</v>
      </c>
      <c r="L6" s="22">
        <v>11</v>
      </c>
      <c r="M6" s="24">
        <f t="shared" ref="M6:M18" si="6">$M$1/L6</f>
        <v>2.5454545454545454</v>
      </c>
      <c r="N6" s="25">
        <f t="shared" ref="N6:N18" si="7">$N$1/L6</f>
        <v>2.6363636363636362</v>
      </c>
      <c r="O6" s="25">
        <f t="shared" ref="O6:O18" si="8">$O$1/L6</f>
        <v>2.9090909090909092</v>
      </c>
      <c r="P6" s="25">
        <f t="shared" ref="P6:P18" si="9">$P$1/L6</f>
        <v>2.9090909090909092</v>
      </c>
      <c r="Q6" s="19">
        <f t="shared" ref="Q6:Q18" si="10">$Q$1/L6</f>
        <v>2.9090909090909092</v>
      </c>
    </row>
    <row r="7" spans="1:17" ht="15.75" x14ac:dyDescent="0.25">
      <c r="A7" s="94">
        <v>23</v>
      </c>
      <c r="B7" s="89" t="s">
        <v>15</v>
      </c>
      <c r="C7" s="24">
        <f>C1/6</f>
        <v>2.8333333333333335</v>
      </c>
      <c r="D7" s="19">
        <f>D1/6</f>
        <v>3.1666666666666665</v>
      </c>
      <c r="E7" s="22">
        <v>6</v>
      </c>
      <c r="F7" s="24">
        <f t="shared" si="0"/>
        <v>3.6666666666666665</v>
      </c>
      <c r="G7" s="25">
        <f t="shared" si="1"/>
        <v>4</v>
      </c>
      <c r="H7" s="25">
        <f t="shared" si="2"/>
        <v>4.333333333333333</v>
      </c>
      <c r="I7" s="25">
        <f t="shared" si="3"/>
        <v>4.333333333333333</v>
      </c>
      <c r="J7" s="25">
        <f t="shared" si="4"/>
        <v>4.333333333333333</v>
      </c>
      <c r="K7" s="19">
        <f t="shared" si="5"/>
        <v>4.333333333333333</v>
      </c>
      <c r="L7" s="22">
        <v>6</v>
      </c>
      <c r="M7" s="24">
        <f t="shared" si="6"/>
        <v>4.666666666666667</v>
      </c>
      <c r="N7" s="25">
        <f t="shared" si="7"/>
        <v>4.833333333333333</v>
      </c>
      <c r="O7" s="25">
        <f t="shared" si="8"/>
        <v>5.333333333333333</v>
      </c>
      <c r="P7" s="25">
        <f t="shared" si="9"/>
        <v>5.333333333333333</v>
      </c>
      <c r="Q7" s="19">
        <f t="shared" si="10"/>
        <v>5.333333333333333</v>
      </c>
    </row>
    <row r="8" spans="1:17" ht="15.75" x14ac:dyDescent="0.25">
      <c r="A8" s="94">
        <v>24</v>
      </c>
      <c r="B8" s="89" t="s">
        <v>16</v>
      </c>
      <c r="C8" s="24">
        <f>C1/10</f>
        <v>1.7</v>
      </c>
      <c r="D8" s="19">
        <f>D1/10</f>
        <v>1.9</v>
      </c>
      <c r="E8" s="22">
        <v>12</v>
      </c>
      <c r="F8" s="24">
        <f t="shared" si="0"/>
        <v>1.8333333333333333</v>
      </c>
      <c r="G8" s="25">
        <f t="shared" si="1"/>
        <v>2</v>
      </c>
      <c r="H8" s="25">
        <f t="shared" si="2"/>
        <v>2.1666666666666665</v>
      </c>
      <c r="I8" s="25">
        <f t="shared" si="3"/>
        <v>2.1666666666666665</v>
      </c>
      <c r="J8" s="25">
        <f t="shared" si="4"/>
        <v>2.1666666666666665</v>
      </c>
      <c r="K8" s="19">
        <f t="shared" si="5"/>
        <v>2.1666666666666665</v>
      </c>
      <c r="L8" s="22">
        <v>14</v>
      </c>
      <c r="M8" s="24">
        <f t="shared" si="6"/>
        <v>2</v>
      </c>
      <c r="N8" s="25">
        <f t="shared" si="7"/>
        <v>2.0714285714285716</v>
      </c>
      <c r="O8" s="25">
        <f t="shared" si="8"/>
        <v>2.2857142857142856</v>
      </c>
      <c r="P8" s="25">
        <f t="shared" si="9"/>
        <v>2.2857142857142856</v>
      </c>
      <c r="Q8" s="19">
        <f t="shared" si="10"/>
        <v>2.2857142857142856</v>
      </c>
    </row>
    <row r="9" spans="1:17" ht="15.75" x14ac:dyDescent="0.25">
      <c r="A9" s="94">
        <v>33</v>
      </c>
      <c r="B9" s="89" t="s">
        <v>17</v>
      </c>
      <c r="C9" s="24">
        <f>C1/12</f>
        <v>1.4166666666666667</v>
      </c>
      <c r="D9" s="19">
        <f>D1/12</f>
        <v>1.5833333333333333</v>
      </c>
      <c r="E9" s="22">
        <v>14</v>
      </c>
      <c r="F9" s="24">
        <f t="shared" si="0"/>
        <v>1.5714285714285714</v>
      </c>
      <c r="G9" s="25">
        <f t="shared" si="1"/>
        <v>1.7142857142857142</v>
      </c>
      <c r="H9" s="25">
        <f t="shared" si="2"/>
        <v>1.8571428571428572</v>
      </c>
      <c r="I9" s="25">
        <f t="shared" si="3"/>
        <v>1.8571428571428572</v>
      </c>
      <c r="J9" s="25">
        <f t="shared" si="4"/>
        <v>1.8571428571428572</v>
      </c>
      <c r="K9" s="19">
        <f t="shared" si="5"/>
        <v>1.8571428571428572</v>
      </c>
      <c r="L9" s="22">
        <v>16</v>
      </c>
      <c r="M9" s="24">
        <f t="shared" si="6"/>
        <v>1.75</v>
      </c>
      <c r="N9" s="25">
        <f t="shared" si="7"/>
        <v>1.8125</v>
      </c>
      <c r="O9" s="25">
        <f t="shared" si="8"/>
        <v>2</v>
      </c>
      <c r="P9" s="25">
        <f t="shared" si="9"/>
        <v>2</v>
      </c>
      <c r="Q9" s="19">
        <f t="shared" si="10"/>
        <v>2</v>
      </c>
    </row>
    <row r="10" spans="1:17" ht="15.75" x14ac:dyDescent="0.25">
      <c r="A10" s="94">
        <v>34</v>
      </c>
      <c r="B10" s="89" t="s">
        <v>18</v>
      </c>
      <c r="C10" s="24">
        <f>C1/8</f>
        <v>2.125</v>
      </c>
      <c r="D10" s="19">
        <f>D1/8</f>
        <v>2.375</v>
      </c>
      <c r="E10" s="22">
        <v>10</v>
      </c>
      <c r="F10" s="24">
        <f t="shared" si="0"/>
        <v>2.2000000000000002</v>
      </c>
      <c r="G10" s="25">
        <f t="shared" si="1"/>
        <v>2.4</v>
      </c>
      <c r="H10" s="25">
        <f t="shared" si="2"/>
        <v>2.6</v>
      </c>
      <c r="I10" s="25">
        <f t="shared" si="3"/>
        <v>2.6</v>
      </c>
      <c r="J10" s="25">
        <f t="shared" si="4"/>
        <v>2.6</v>
      </c>
      <c r="K10" s="19">
        <f t="shared" si="5"/>
        <v>2.6</v>
      </c>
      <c r="L10" s="22">
        <v>12</v>
      </c>
      <c r="M10" s="24">
        <f t="shared" si="6"/>
        <v>2.3333333333333335</v>
      </c>
      <c r="N10" s="25">
        <f t="shared" si="7"/>
        <v>2.4166666666666665</v>
      </c>
      <c r="O10" s="25">
        <f t="shared" si="8"/>
        <v>2.6666666666666665</v>
      </c>
      <c r="P10" s="25">
        <f t="shared" si="9"/>
        <v>2.6666666666666665</v>
      </c>
      <c r="Q10" s="19">
        <f t="shared" si="10"/>
        <v>2.6666666666666665</v>
      </c>
    </row>
    <row r="11" spans="1:17" ht="31.5" x14ac:dyDescent="0.25">
      <c r="A11" s="94" t="s">
        <v>19</v>
      </c>
      <c r="B11" s="90" t="s">
        <v>20</v>
      </c>
      <c r="C11" s="24">
        <f>C1/7</f>
        <v>2.4285714285714284</v>
      </c>
      <c r="D11" s="19">
        <f>D1/7</f>
        <v>2.7142857142857144</v>
      </c>
      <c r="E11" s="22">
        <v>8</v>
      </c>
      <c r="F11" s="24">
        <f t="shared" si="0"/>
        <v>2.75</v>
      </c>
      <c r="G11" s="25">
        <f t="shared" si="1"/>
        <v>3</v>
      </c>
      <c r="H11" s="25">
        <f t="shared" si="2"/>
        <v>3.25</v>
      </c>
      <c r="I11" s="25">
        <f t="shared" si="3"/>
        <v>3.25</v>
      </c>
      <c r="J11" s="25">
        <f t="shared" si="4"/>
        <v>3.25</v>
      </c>
      <c r="K11" s="19">
        <f t="shared" si="5"/>
        <v>3.25</v>
      </c>
      <c r="L11" s="22"/>
      <c r="M11" s="82"/>
      <c r="N11" s="83"/>
      <c r="O11" s="83"/>
      <c r="P11" s="83"/>
      <c r="Q11" s="84"/>
    </row>
    <row r="12" spans="1:17" ht="15.75" x14ac:dyDescent="0.25">
      <c r="A12" s="94">
        <v>36</v>
      </c>
      <c r="B12" s="89" t="s">
        <v>21</v>
      </c>
      <c r="C12" s="24">
        <f>C1/8</f>
        <v>2.125</v>
      </c>
      <c r="D12" s="19">
        <f>D1/8</f>
        <v>2.375</v>
      </c>
      <c r="E12" s="22">
        <v>10</v>
      </c>
      <c r="F12" s="24">
        <f t="shared" si="0"/>
        <v>2.2000000000000002</v>
      </c>
      <c r="G12" s="25">
        <f t="shared" si="1"/>
        <v>2.4</v>
      </c>
      <c r="H12" s="25">
        <f t="shared" si="2"/>
        <v>2.6</v>
      </c>
      <c r="I12" s="25">
        <f t="shared" si="3"/>
        <v>2.6</v>
      </c>
      <c r="J12" s="25">
        <f t="shared" si="4"/>
        <v>2.6</v>
      </c>
      <c r="K12" s="19">
        <f t="shared" si="5"/>
        <v>2.6</v>
      </c>
      <c r="L12" s="22">
        <v>11</v>
      </c>
      <c r="M12" s="24">
        <f t="shared" si="6"/>
        <v>2.5454545454545454</v>
      </c>
      <c r="N12" s="25">
        <f t="shared" si="7"/>
        <v>2.6363636363636362</v>
      </c>
      <c r="O12" s="25">
        <f t="shared" si="8"/>
        <v>2.9090909090909092</v>
      </c>
      <c r="P12" s="25">
        <f t="shared" si="9"/>
        <v>2.9090909090909092</v>
      </c>
      <c r="Q12" s="19">
        <f t="shared" si="10"/>
        <v>2.9090909090909092</v>
      </c>
    </row>
    <row r="13" spans="1:17" ht="15.75" x14ac:dyDescent="0.25">
      <c r="A13" s="94">
        <v>42</v>
      </c>
      <c r="B13" s="89" t="s">
        <v>22</v>
      </c>
      <c r="C13" s="24">
        <f>C1/7</f>
        <v>2.4285714285714284</v>
      </c>
      <c r="D13" s="19">
        <f>D1/7</f>
        <v>2.7142857142857144</v>
      </c>
      <c r="E13" s="22">
        <v>7</v>
      </c>
      <c r="F13" s="24">
        <f t="shared" si="0"/>
        <v>3.1428571428571428</v>
      </c>
      <c r="G13" s="25">
        <f t="shared" si="1"/>
        <v>3.4285714285714284</v>
      </c>
      <c r="H13" s="25">
        <f t="shared" si="2"/>
        <v>3.7142857142857144</v>
      </c>
      <c r="I13" s="25">
        <f t="shared" si="3"/>
        <v>3.7142857142857144</v>
      </c>
      <c r="J13" s="25">
        <f t="shared" si="4"/>
        <v>3.7142857142857144</v>
      </c>
      <c r="K13" s="19">
        <f t="shared" si="5"/>
        <v>3.7142857142857144</v>
      </c>
      <c r="L13" s="22">
        <v>7</v>
      </c>
      <c r="M13" s="24">
        <f t="shared" si="6"/>
        <v>4</v>
      </c>
      <c r="N13" s="25">
        <f t="shared" si="7"/>
        <v>4.1428571428571432</v>
      </c>
      <c r="O13" s="25">
        <f t="shared" si="8"/>
        <v>4.5714285714285712</v>
      </c>
      <c r="P13" s="25">
        <f t="shared" si="9"/>
        <v>4.5714285714285712</v>
      </c>
      <c r="Q13" s="19">
        <f t="shared" si="10"/>
        <v>4.5714285714285712</v>
      </c>
    </row>
    <row r="14" spans="1:17" ht="15.75" x14ac:dyDescent="0.25">
      <c r="A14" s="94">
        <v>44</v>
      </c>
      <c r="B14" s="89" t="s">
        <v>23</v>
      </c>
      <c r="C14" s="24">
        <f>C1/7</f>
        <v>2.4285714285714284</v>
      </c>
      <c r="D14" s="19">
        <f>D1/7</f>
        <v>2.7142857142857144</v>
      </c>
      <c r="E14" s="22">
        <v>7</v>
      </c>
      <c r="F14" s="24">
        <f t="shared" si="0"/>
        <v>3.1428571428571428</v>
      </c>
      <c r="G14" s="25">
        <f t="shared" si="1"/>
        <v>3.4285714285714284</v>
      </c>
      <c r="H14" s="25">
        <f t="shared" si="2"/>
        <v>3.7142857142857144</v>
      </c>
      <c r="I14" s="25">
        <f t="shared" si="3"/>
        <v>3.7142857142857144</v>
      </c>
      <c r="J14" s="25">
        <f t="shared" si="4"/>
        <v>3.7142857142857144</v>
      </c>
      <c r="K14" s="19">
        <f t="shared" si="5"/>
        <v>3.7142857142857144</v>
      </c>
      <c r="L14" s="22">
        <v>7</v>
      </c>
      <c r="M14" s="24">
        <f t="shared" si="6"/>
        <v>4</v>
      </c>
      <c r="N14" s="25">
        <f t="shared" si="7"/>
        <v>4.1428571428571432</v>
      </c>
      <c r="O14" s="25">
        <f t="shared" si="8"/>
        <v>4.5714285714285712</v>
      </c>
      <c r="P14" s="25">
        <f t="shared" si="9"/>
        <v>4.5714285714285712</v>
      </c>
      <c r="Q14" s="19">
        <f t="shared" si="10"/>
        <v>4.5714285714285712</v>
      </c>
    </row>
    <row r="15" spans="1:17" ht="15.75" x14ac:dyDescent="0.25">
      <c r="A15" s="94">
        <v>50</v>
      </c>
      <c r="B15" s="89" t="s">
        <v>24</v>
      </c>
      <c r="C15" s="24">
        <f>C1/6</f>
        <v>2.8333333333333335</v>
      </c>
      <c r="D15" s="19">
        <f>D1/6</f>
        <v>3.1666666666666665</v>
      </c>
      <c r="E15" s="22">
        <v>7</v>
      </c>
      <c r="F15" s="24">
        <f t="shared" si="0"/>
        <v>3.1428571428571428</v>
      </c>
      <c r="G15" s="25">
        <f t="shared" si="1"/>
        <v>3.4285714285714284</v>
      </c>
      <c r="H15" s="25">
        <f t="shared" si="2"/>
        <v>3.7142857142857144</v>
      </c>
      <c r="I15" s="25">
        <f t="shared" si="3"/>
        <v>3.7142857142857144</v>
      </c>
      <c r="J15" s="25">
        <f t="shared" si="4"/>
        <v>3.7142857142857144</v>
      </c>
      <c r="K15" s="19">
        <f t="shared" si="5"/>
        <v>3.7142857142857144</v>
      </c>
      <c r="L15" s="22">
        <v>8</v>
      </c>
      <c r="M15" s="24">
        <f t="shared" si="6"/>
        <v>3.5</v>
      </c>
      <c r="N15" s="25">
        <f t="shared" si="7"/>
        <v>3.625</v>
      </c>
      <c r="O15" s="25">
        <f t="shared" si="8"/>
        <v>4</v>
      </c>
      <c r="P15" s="25">
        <f t="shared" si="9"/>
        <v>4</v>
      </c>
      <c r="Q15" s="19">
        <f t="shared" si="10"/>
        <v>4</v>
      </c>
    </row>
    <row r="16" spans="1:17" ht="15.75" x14ac:dyDescent="0.25">
      <c r="A16" s="94">
        <v>53</v>
      </c>
      <c r="B16" s="89" t="s">
        <v>25</v>
      </c>
      <c r="C16" s="24">
        <f>C1/6</f>
        <v>2.8333333333333335</v>
      </c>
      <c r="D16" s="19">
        <f>D1/6</f>
        <v>3.1666666666666665</v>
      </c>
      <c r="E16" s="22">
        <v>7</v>
      </c>
      <c r="F16" s="24">
        <f t="shared" si="0"/>
        <v>3.1428571428571428</v>
      </c>
      <c r="G16" s="25">
        <f t="shared" si="1"/>
        <v>3.4285714285714284</v>
      </c>
      <c r="H16" s="25">
        <f t="shared" si="2"/>
        <v>3.7142857142857144</v>
      </c>
      <c r="I16" s="25">
        <f t="shared" si="3"/>
        <v>3.7142857142857144</v>
      </c>
      <c r="J16" s="25">
        <f t="shared" si="4"/>
        <v>3.7142857142857144</v>
      </c>
      <c r="K16" s="19">
        <f t="shared" si="5"/>
        <v>3.7142857142857144</v>
      </c>
      <c r="L16" s="22">
        <v>8</v>
      </c>
      <c r="M16" s="24">
        <f t="shared" si="6"/>
        <v>3.5</v>
      </c>
      <c r="N16" s="25">
        <f t="shared" si="7"/>
        <v>3.625</v>
      </c>
      <c r="O16" s="25">
        <f t="shared" si="8"/>
        <v>4</v>
      </c>
      <c r="P16" s="25">
        <f t="shared" si="9"/>
        <v>4</v>
      </c>
      <c r="Q16" s="19">
        <f t="shared" si="10"/>
        <v>4</v>
      </c>
    </row>
    <row r="17" spans="1:17" ht="31.5" x14ac:dyDescent="0.25">
      <c r="A17" s="94">
        <v>98</v>
      </c>
      <c r="B17" s="90" t="s">
        <v>26</v>
      </c>
      <c r="C17" s="78"/>
      <c r="D17" s="79"/>
      <c r="E17" s="80"/>
      <c r="F17" s="81"/>
      <c r="G17" s="51"/>
      <c r="H17" s="51"/>
      <c r="I17" s="51"/>
      <c r="J17" s="51"/>
      <c r="K17" s="79"/>
      <c r="L17" s="80"/>
      <c r="M17" s="81"/>
      <c r="N17" s="51"/>
      <c r="O17" s="51"/>
      <c r="P17" s="51"/>
      <c r="Q17" s="79"/>
    </row>
    <row r="18" spans="1:17" ht="31.5" x14ac:dyDescent="0.25">
      <c r="A18" s="94">
        <v>99</v>
      </c>
      <c r="B18" s="91" t="s">
        <v>27</v>
      </c>
      <c r="C18" s="35">
        <f>C1/8</f>
        <v>2.125</v>
      </c>
      <c r="D18" s="36">
        <f>D1/8</f>
        <v>2.375</v>
      </c>
      <c r="E18" s="22">
        <v>10</v>
      </c>
      <c r="F18" s="35">
        <f t="shared" si="0"/>
        <v>2.2000000000000002</v>
      </c>
      <c r="G18" s="37">
        <f t="shared" si="1"/>
        <v>2.4</v>
      </c>
      <c r="H18" s="37">
        <f t="shared" si="2"/>
        <v>2.6</v>
      </c>
      <c r="I18" s="37">
        <f t="shared" si="3"/>
        <v>2.6</v>
      </c>
      <c r="J18" s="37">
        <f t="shared" si="4"/>
        <v>2.6</v>
      </c>
      <c r="K18" s="36">
        <f t="shared" si="5"/>
        <v>2.6</v>
      </c>
      <c r="L18" s="22">
        <v>11</v>
      </c>
      <c r="M18" s="35">
        <f t="shared" si="6"/>
        <v>2.5454545454545454</v>
      </c>
      <c r="N18" s="37">
        <f t="shared" si="7"/>
        <v>2.6363636363636362</v>
      </c>
      <c r="O18" s="37">
        <f t="shared" si="8"/>
        <v>2.9090909090909092</v>
      </c>
      <c r="P18" s="37">
        <f t="shared" si="9"/>
        <v>2.9090909090909092</v>
      </c>
      <c r="Q18" s="36">
        <f t="shared" si="10"/>
        <v>2.9090909090909092</v>
      </c>
    </row>
    <row r="19" spans="1:17" ht="32.25" thickBot="1" x14ac:dyDescent="0.3">
      <c r="A19" s="95" t="s">
        <v>28</v>
      </c>
      <c r="B19" s="92" t="s">
        <v>29</v>
      </c>
      <c r="C19" s="85"/>
      <c r="D19" s="86"/>
      <c r="E19" s="22">
        <v>16</v>
      </c>
      <c r="F19" s="38">
        <f t="shared" si="0"/>
        <v>1.375</v>
      </c>
      <c r="G19" s="39">
        <f t="shared" si="1"/>
        <v>1.5</v>
      </c>
      <c r="H19" s="39">
        <f t="shared" si="2"/>
        <v>1.625</v>
      </c>
      <c r="I19" s="39">
        <f t="shared" si="3"/>
        <v>1.625</v>
      </c>
      <c r="J19" s="39">
        <f t="shared" si="4"/>
        <v>1.625</v>
      </c>
      <c r="K19" s="40">
        <f t="shared" si="5"/>
        <v>1.625</v>
      </c>
      <c r="L19" s="41"/>
      <c r="M19" s="38">
        <f>M1/20</f>
        <v>1.4</v>
      </c>
      <c r="N19" s="39">
        <f t="shared" ref="N19:Q19" si="11">N1/20</f>
        <v>1.45</v>
      </c>
      <c r="O19" s="39">
        <f t="shared" si="11"/>
        <v>1.6</v>
      </c>
      <c r="P19" s="39">
        <f t="shared" si="11"/>
        <v>1.6</v>
      </c>
      <c r="Q19" s="40">
        <f t="shared" si="11"/>
        <v>1.6</v>
      </c>
    </row>
  </sheetData>
  <sheetProtection algorithmName="SHA-512" hashValue="eq1xxuXQ+EzpR5Hhh04izxqZaci6uV5vbhZjnusxUpp/D4BGXR3KjKAcewjSuFEgEQ8bZbGgJ41dy+bfWSQJcg==" saltValue="2FGr9Q8SY7owLupZBxcZ2w==" spinCount="100000" sheet="1" objects="1" scenarios="1"/>
  <mergeCells count="4">
    <mergeCell ref="F3:K3"/>
    <mergeCell ref="M3:Q3"/>
    <mergeCell ref="C3:D3"/>
    <mergeCell ref="A4:B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0432-3C38-47AA-B432-830FC995D63A}">
  <dimension ref="A1:J24"/>
  <sheetViews>
    <sheetView zoomScale="115" zoomScaleNormal="115" workbookViewId="0">
      <selection activeCell="E18" sqref="E18"/>
    </sheetView>
  </sheetViews>
  <sheetFormatPr baseColWidth="10" defaultColWidth="11.5546875" defaultRowHeight="15" x14ac:dyDescent="0.2"/>
  <cols>
    <col min="1" max="1" width="30.77734375" customWidth="1"/>
    <col min="2" max="2" width="17.109375" customWidth="1"/>
    <col min="3" max="3" width="13.88671875" customWidth="1"/>
    <col min="6" max="6" width="30.5546875" customWidth="1"/>
    <col min="7" max="7" width="20.88671875" customWidth="1"/>
  </cols>
  <sheetData>
    <row r="1" spans="1:10" ht="58.5" customHeight="1" x14ac:dyDescent="0.25">
      <c r="A1" s="152" t="s">
        <v>105</v>
      </c>
      <c r="B1" s="152"/>
      <c r="C1" s="152"/>
      <c r="D1" s="152"/>
    </row>
    <row r="2" spans="1:10" ht="15.75" thickBot="1" x14ac:dyDescent="0.25"/>
    <row r="3" spans="1:10" ht="16.5" thickBot="1" x14ac:dyDescent="0.3">
      <c r="A3" s="55" t="s">
        <v>106</v>
      </c>
      <c r="B3" s="77" t="s">
        <v>107</v>
      </c>
      <c r="J3" s="4"/>
    </row>
    <row r="4" spans="1:10" ht="15.75" thickBot="1" x14ac:dyDescent="0.25"/>
    <row r="5" spans="1:10" ht="16.5" thickBot="1" x14ac:dyDescent="0.3">
      <c r="B5" s="55" t="s">
        <v>43</v>
      </c>
      <c r="C5" s="55" t="s">
        <v>74</v>
      </c>
      <c r="D5" s="55" t="s">
        <v>75</v>
      </c>
      <c r="G5" s="58"/>
    </row>
    <row r="6" spans="1:10" ht="15.75" x14ac:dyDescent="0.25">
      <c r="A6" s="60" t="s">
        <v>76</v>
      </c>
      <c r="B6" s="61"/>
      <c r="C6" s="62">
        <v>0</v>
      </c>
      <c r="D6" s="63">
        <f>C6</f>
        <v>0</v>
      </c>
      <c r="G6" s="58"/>
    </row>
    <row r="7" spans="1:10" x14ac:dyDescent="0.2">
      <c r="A7" s="7" t="s">
        <v>13</v>
      </c>
      <c r="B7" s="5">
        <v>12</v>
      </c>
      <c r="C7" s="18">
        <v>0</v>
      </c>
      <c r="D7" s="6">
        <f>ROUND(C7*'pondération défavorisé'!F5,0)</f>
        <v>0</v>
      </c>
      <c r="G7" s="57"/>
    </row>
    <row r="8" spans="1:10" s="1" customFormat="1" x14ac:dyDescent="0.2">
      <c r="A8" s="7" t="s">
        <v>14</v>
      </c>
      <c r="B8" s="5">
        <v>14</v>
      </c>
      <c r="C8" s="18">
        <v>0</v>
      </c>
      <c r="D8" s="6">
        <f>ROUND(C8*'pondération défavorisé'!F6,0)</f>
        <v>0</v>
      </c>
      <c r="E8"/>
      <c r="F8"/>
      <c r="G8" s="57"/>
    </row>
    <row r="9" spans="1:10" s="1" customFormat="1" x14ac:dyDescent="0.2">
      <c r="A9" s="7" t="s">
        <v>77</v>
      </c>
      <c r="B9" s="5">
        <v>23</v>
      </c>
      <c r="C9" s="18">
        <v>0</v>
      </c>
      <c r="D9" s="6">
        <f>ROUND(C9*'pondération défavorisé'!F7,0)</f>
        <v>0</v>
      </c>
      <c r="E9"/>
      <c r="F9"/>
      <c r="G9" s="28"/>
    </row>
    <row r="10" spans="1:10" s="1" customFormat="1" x14ac:dyDescent="0.2">
      <c r="A10" s="64" t="s">
        <v>78</v>
      </c>
      <c r="B10" s="3">
        <v>24</v>
      </c>
      <c r="C10" s="32">
        <v>0</v>
      </c>
      <c r="D10" s="6">
        <f>ROUND(C10*'pondération défavorisé'!F8,0)</f>
        <v>0</v>
      </c>
      <c r="G10" s="30"/>
    </row>
    <row r="11" spans="1:10" s="1" customFormat="1" x14ac:dyDescent="0.2">
      <c r="A11" s="64" t="s">
        <v>79</v>
      </c>
      <c r="B11" s="3">
        <v>33</v>
      </c>
      <c r="C11" s="32">
        <v>0</v>
      </c>
      <c r="D11" s="6">
        <f>ROUND(C11*'pondération défavorisé'!F9,0)</f>
        <v>0</v>
      </c>
      <c r="G11" s="30"/>
    </row>
    <row r="12" spans="1:10" s="1" customFormat="1" x14ac:dyDescent="0.2">
      <c r="A12" s="64" t="s">
        <v>80</v>
      </c>
      <c r="B12" s="3">
        <v>34</v>
      </c>
      <c r="C12" s="32">
        <v>0</v>
      </c>
      <c r="D12" s="6">
        <f>ROUND(C12*'pondération défavorisé'!F10,0)</f>
        <v>0</v>
      </c>
      <c r="G12" s="30"/>
    </row>
    <row r="13" spans="1:10" s="1" customFormat="1" x14ac:dyDescent="0.2">
      <c r="A13" s="64" t="s">
        <v>81</v>
      </c>
      <c r="B13" s="3">
        <v>34</v>
      </c>
      <c r="C13" s="32">
        <v>0</v>
      </c>
      <c r="D13" s="6">
        <f>ROUND(C13*'pondération défavorisé'!F11,0)</f>
        <v>0</v>
      </c>
    </row>
    <row r="14" spans="1:10" s="1" customFormat="1" x14ac:dyDescent="0.2">
      <c r="A14" s="64" t="s">
        <v>82</v>
      </c>
      <c r="B14" s="3">
        <v>36</v>
      </c>
      <c r="C14" s="32">
        <v>0</v>
      </c>
      <c r="D14" s="6">
        <f>ROUND(C14*'pondération défavorisé'!F12,0)</f>
        <v>0</v>
      </c>
    </row>
    <row r="15" spans="1:10" s="1" customFormat="1" x14ac:dyDescent="0.2">
      <c r="A15" s="64" t="s">
        <v>83</v>
      </c>
      <c r="B15" s="3">
        <v>42</v>
      </c>
      <c r="C15" s="32">
        <v>0</v>
      </c>
      <c r="D15" s="6">
        <f>ROUND(C15*'pondération défavorisé'!F13,0)</f>
        <v>0</v>
      </c>
    </row>
    <row r="16" spans="1:10" s="1" customFormat="1" x14ac:dyDescent="0.2">
      <c r="A16" s="64" t="s">
        <v>84</v>
      </c>
      <c r="B16" s="3">
        <v>44</v>
      </c>
      <c r="C16" s="32">
        <v>0</v>
      </c>
      <c r="D16" s="6">
        <f>ROUND(C16*'pondération défavorisé'!F14,0)</f>
        <v>0</v>
      </c>
    </row>
    <row r="17" spans="1:7" s="1" customFormat="1" x14ac:dyDescent="0.2">
      <c r="A17" s="64" t="s">
        <v>85</v>
      </c>
      <c r="B17" s="3">
        <v>50</v>
      </c>
      <c r="C17" s="32">
        <v>0</v>
      </c>
      <c r="D17" s="6">
        <f>ROUND(C17*'pondération défavorisé'!F15,0)</f>
        <v>0</v>
      </c>
    </row>
    <row r="18" spans="1:7" s="1" customFormat="1" ht="30" x14ac:dyDescent="0.2">
      <c r="A18" s="64" t="s">
        <v>86</v>
      </c>
      <c r="B18" s="3">
        <v>53</v>
      </c>
      <c r="C18" s="32">
        <v>0</v>
      </c>
      <c r="D18" s="6">
        <f>ROUND(C18*'pondération défavorisé'!F16,0)</f>
        <v>0</v>
      </c>
    </row>
    <row r="19" spans="1:7" s="1" customFormat="1" x14ac:dyDescent="0.2">
      <c r="A19" s="64" t="s">
        <v>87</v>
      </c>
      <c r="B19" s="3">
        <v>99</v>
      </c>
      <c r="C19" s="32">
        <v>0</v>
      </c>
      <c r="D19" s="6">
        <f>ROUND(C19*'pondération défavorisé'!F18,0)</f>
        <v>0</v>
      </c>
    </row>
    <row r="20" spans="1:7" ht="15.75" thickBot="1" x14ac:dyDescent="0.25">
      <c r="A20" s="65" t="s">
        <v>100</v>
      </c>
      <c r="B20" s="66" t="s">
        <v>28</v>
      </c>
      <c r="C20" s="67">
        <v>0</v>
      </c>
      <c r="D20" s="44">
        <f>ROUND(C20*'pondération défavorisé'!F19,0)</f>
        <v>0</v>
      </c>
      <c r="E20" s="1"/>
      <c r="F20" s="1"/>
      <c r="G20" s="1"/>
    </row>
    <row r="21" spans="1:7" ht="16.5" thickBot="1" x14ac:dyDescent="0.3">
      <c r="A21" s="1"/>
      <c r="B21" s="1"/>
      <c r="C21" s="70" t="s">
        <v>88</v>
      </c>
      <c r="D21" s="71">
        <f>SUM(D6:D20)</f>
        <v>0</v>
      </c>
      <c r="E21" s="1"/>
      <c r="F21" s="1"/>
      <c r="G21" s="1"/>
    </row>
    <row r="22" spans="1:7" ht="16.5" thickBot="1" x14ac:dyDescent="0.3">
      <c r="C22" s="54" t="s">
        <v>89</v>
      </c>
      <c r="D22" s="55">
        <f>IF($B$3='type GPAE non defav'!A34,D21-'type GPAE non defav'!B34,IF($B$3='type GPAE non defav'!A35,D21-'type GPAE non defav'!B35,0))</f>
        <v>-20</v>
      </c>
    </row>
    <row r="24" spans="1:7" ht="49.5" customHeight="1" x14ac:dyDescent="0.2">
      <c r="A24" s="150" t="s">
        <v>90</v>
      </c>
      <c r="B24" s="150"/>
      <c r="C24" s="150"/>
      <c r="D24" s="150"/>
      <c r="E24" s="150"/>
    </row>
  </sheetData>
  <sheetProtection algorithmName="SHA-512" hashValue="ibh41LO4uifien/DWfLKvpKr57Gbxx8GuP2eyPauS4CNYp4o/VOu1QCJKn+dUud7bwmBP+l7n3i9i+VE8iGYug==" saltValue="n6h592fjeF8HcotSqyY6wg==" spinCount="100000" sheet="1" objects="1" scenarios="1"/>
  <mergeCells count="2">
    <mergeCell ref="A1:D1"/>
    <mergeCell ref="A24:E2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4B953B-CB7C-4DD9-944C-C8B813670161}">
          <x14:formula1>
            <xm:f>'type GPAE non defav'!$A$34:$A$35</xm:f>
          </x14:formula1>
          <xm:sqref>B3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72D0-532F-4328-A29A-8071B02F2DC9}">
  <dimension ref="A1:J23"/>
  <sheetViews>
    <sheetView topLeftCell="A5" zoomScale="145" zoomScaleNormal="145" workbookViewId="0">
      <selection activeCell="F16" sqref="F16"/>
    </sheetView>
  </sheetViews>
  <sheetFormatPr baseColWidth="10" defaultColWidth="11.5546875" defaultRowHeight="15" x14ac:dyDescent="0.2"/>
  <cols>
    <col min="1" max="1" width="30.77734375" customWidth="1"/>
    <col min="3" max="3" width="13.5546875" customWidth="1"/>
    <col min="6" max="6" width="30.5546875" customWidth="1"/>
    <col min="7" max="7" width="20.88671875" customWidth="1"/>
  </cols>
  <sheetData>
    <row r="1" spans="1:10" ht="57.6" customHeight="1" x14ac:dyDescent="0.25">
      <c r="A1" s="152" t="s">
        <v>108</v>
      </c>
      <c r="B1" s="152"/>
      <c r="C1" s="152"/>
      <c r="D1" s="152"/>
    </row>
    <row r="2" spans="1:10" ht="15.75" thickBot="1" x14ac:dyDescent="0.25"/>
    <row r="3" spans="1:10" ht="16.5" thickBot="1" x14ac:dyDescent="0.3">
      <c r="A3" s="55" t="s">
        <v>99</v>
      </c>
      <c r="B3" s="77">
        <v>1</v>
      </c>
      <c r="J3" s="4"/>
    </row>
    <row r="4" spans="1:10" ht="15.75" thickBot="1" x14ac:dyDescent="0.25"/>
    <row r="5" spans="1:10" ht="16.5" thickBot="1" x14ac:dyDescent="0.3">
      <c r="B5" s="55" t="s">
        <v>43</v>
      </c>
      <c r="C5" s="55" t="s">
        <v>74</v>
      </c>
      <c r="D5" s="52" t="s">
        <v>75</v>
      </c>
      <c r="G5" s="58"/>
    </row>
    <row r="6" spans="1:10" ht="15.75" x14ac:dyDescent="0.25">
      <c r="A6" s="60" t="s">
        <v>76</v>
      </c>
      <c r="B6" s="61"/>
      <c r="C6" s="62">
        <v>0</v>
      </c>
      <c r="D6" s="63">
        <f>C6</f>
        <v>0</v>
      </c>
      <c r="G6" s="58"/>
    </row>
    <row r="7" spans="1:10" x14ac:dyDescent="0.2">
      <c r="A7" s="7" t="s">
        <v>13</v>
      </c>
      <c r="B7" s="5">
        <v>12</v>
      </c>
      <c r="C7" s="18">
        <v>0</v>
      </c>
      <c r="D7" s="6">
        <f>ROUND(IF($B$3=1,C7*'pondération non défavorisé'!M5,IF($B$3=2,C7*'pondération non défavorisé'!N5,IF($B$3&gt;2,C7*'pondération non défavorisé'!O5,0))),0)</f>
        <v>0</v>
      </c>
      <c r="G7" s="57"/>
    </row>
    <row r="8" spans="1:10" s="1" customFormat="1" x14ac:dyDescent="0.2">
      <c r="A8" s="7" t="s">
        <v>14</v>
      </c>
      <c r="B8" s="5">
        <v>14</v>
      </c>
      <c r="C8" s="18">
        <v>0</v>
      </c>
      <c r="D8" s="6">
        <f>ROUND(IF($B$3=1,C8*'pondération non défavorisé'!M6,IF($B$3=2,C8*'pondération non défavorisé'!N6,IF($B$3&gt;2,C8*'pondération non défavorisé'!O6,0))),0)</f>
        <v>0</v>
      </c>
      <c r="E8"/>
      <c r="F8"/>
      <c r="G8" s="57"/>
    </row>
    <row r="9" spans="1:10" s="1" customFormat="1" x14ac:dyDescent="0.2">
      <c r="A9" s="7" t="s">
        <v>77</v>
      </c>
      <c r="B9" s="5">
        <v>23</v>
      </c>
      <c r="C9" s="18">
        <v>0</v>
      </c>
      <c r="D9" s="6">
        <f>ROUND(IF($B$3=1,C9*'pondération non défavorisé'!M7,IF($B$3=2,C9*'pondération non défavorisé'!N7,IF($B$3&gt;2,C9*'pondération non défavorisé'!O7,0))),0)</f>
        <v>0</v>
      </c>
      <c r="E9"/>
      <c r="F9"/>
      <c r="G9" s="57"/>
    </row>
    <row r="10" spans="1:10" s="1" customFormat="1" x14ac:dyDescent="0.2">
      <c r="A10" s="64" t="s">
        <v>78</v>
      </c>
      <c r="B10" s="3">
        <v>24</v>
      </c>
      <c r="C10" s="32">
        <v>0</v>
      </c>
      <c r="D10" s="6">
        <f>ROUND(IF($B$3=1,C10*'pondération non défavorisé'!M8,IF($B$3=2,C10*'pondération non défavorisé'!N8,IF($B$3&gt;2,C10*'pondération non défavorisé'!O8,0))),0)</f>
        <v>0</v>
      </c>
      <c r="G10" s="50"/>
    </row>
    <row r="11" spans="1:10" s="1" customFormat="1" x14ac:dyDescent="0.2">
      <c r="A11" s="64" t="s">
        <v>79</v>
      </c>
      <c r="B11" s="3">
        <v>33</v>
      </c>
      <c r="C11" s="32">
        <v>0</v>
      </c>
      <c r="D11" s="6">
        <f>ROUND(IF($B$3=1,C11*'pondération non défavorisé'!M9,IF($B$3=2,C11*'pondération non défavorisé'!N9,IF($B$3&gt;2,C11*'pondération non défavorisé'!O9,0))),0)</f>
        <v>0</v>
      </c>
      <c r="G11" s="50"/>
    </row>
    <row r="12" spans="1:10" s="1" customFormat="1" x14ac:dyDescent="0.2">
      <c r="A12" s="64" t="s">
        <v>80</v>
      </c>
      <c r="B12" s="3">
        <v>34</v>
      </c>
      <c r="C12" s="32">
        <v>0</v>
      </c>
      <c r="D12" s="6">
        <f>ROUND(IF($B$3=1,C12*'pondération non défavorisé'!M10,IF($B$3=2,C12*'pondération non défavorisé'!N10,IF($B$3&gt;2,C12*'pondération non défavorisé'!O10,0))),0)</f>
        <v>0</v>
      </c>
      <c r="G12" s="50"/>
    </row>
    <row r="13" spans="1:10" s="1" customFormat="1" x14ac:dyDescent="0.2">
      <c r="A13" s="64" t="s">
        <v>82</v>
      </c>
      <c r="B13" s="3">
        <v>36</v>
      </c>
      <c r="C13" s="32">
        <v>0</v>
      </c>
      <c r="D13" s="6">
        <f>ROUND(IF($B$3=1,C13*'pondération non défavorisé'!M12,IF($B$3=2,C13*'pondération non défavorisé'!N12,IF($B$3&gt;2,C13*'pondération non défavorisé'!O12,0))),0)</f>
        <v>0</v>
      </c>
    </row>
    <row r="14" spans="1:10" s="1" customFormat="1" x14ac:dyDescent="0.2">
      <c r="A14" s="64" t="s">
        <v>83</v>
      </c>
      <c r="B14" s="3">
        <v>42</v>
      </c>
      <c r="C14" s="32">
        <v>0</v>
      </c>
      <c r="D14" s="6">
        <f>ROUND(IF($B$3=1,C14*'pondération non défavorisé'!M13,IF($B$3=2,C14*'pondération non défavorisé'!N13,IF($B$3&gt;2,C14*'pondération non défavorisé'!O13,0))),0)</f>
        <v>0</v>
      </c>
    </row>
    <row r="15" spans="1:10" s="1" customFormat="1" x14ac:dyDescent="0.2">
      <c r="A15" s="64" t="s">
        <v>84</v>
      </c>
      <c r="B15" s="3">
        <v>44</v>
      </c>
      <c r="C15" s="32">
        <v>0</v>
      </c>
      <c r="D15" s="6">
        <f>ROUND(IF($B$3=1,C15*'pondération non défavorisé'!M14,IF($B$3=2,C15*'pondération non défavorisé'!N14,IF($B$3&gt;2,C15*'pondération non défavorisé'!O14,0))),0)</f>
        <v>0</v>
      </c>
    </row>
    <row r="16" spans="1:10" s="1" customFormat="1" x14ac:dyDescent="0.2">
      <c r="A16" s="64" t="s">
        <v>85</v>
      </c>
      <c r="B16" s="3">
        <v>50</v>
      </c>
      <c r="C16" s="32">
        <v>0</v>
      </c>
      <c r="D16" s="6">
        <f>ROUND(IF($B$3=1,C16*'pondération non défavorisé'!M15,IF($B$3=2,C16*'pondération non défavorisé'!N15,IF($B$3&gt;2,C16*'pondération non défavorisé'!O15,0))),0)</f>
        <v>0</v>
      </c>
    </row>
    <row r="17" spans="1:7" s="1" customFormat="1" ht="30" x14ac:dyDescent="0.2">
      <c r="A17" s="64" t="s">
        <v>86</v>
      </c>
      <c r="B17" s="3">
        <v>53</v>
      </c>
      <c r="C17" s="32">
        <v>0</v>
      </c>
      <c r="D17" s="6">
        <f>ROUND(IF($B$3=1,C17*'pondération non défavorisé'!M16,IF($B$3=2,C17*'pondération non défavorisé'!N16,IF($B$3&gt;2,C17*'pondération non défavorisé'!O16,0))),0)</f>
        <v>0</v>
      </c>
    </row>
    <row r="18" spans="1:7" s="1" customFormat="1" x14ac:dyDescent="0.2">
      <c r="A18" s="64" t="s">
        <v>87</v>
      </c>
      <c r="B18" s="3">
        <v>99</v>
      </c>
      <c r="C18" s="32">
        <v>0</v>
      </c>
      <c r="D18" s="6">
        <f>ROUND(IF($B$3=1,C18*'pondération non défavorisé'!M18,IF($B$3=2,C18*'pondération non défavorisé'!N18,IF($B$3&gt;2,C18*'pondération non défavorisé'!O18,0))),0)</f>
        <v>0</v>
      </c>
    </row>
    <row r="19" spans="1:7" ht="15.75" thickBot="1" x14ac:dyDescent="0.25">
      <c r="A19" s="65" t="s">
        <v>100</v>
      </c>
      <c r="B19" s="66" t="s">
        <v>28</v>
      </c>
      <c r="C19" s="67">
        <v>0</v>
      </c>
      <c r="D19" s="44">
        <f>ROUND(IF($B$3=1,C19*'pondération non défavorisé'!M19,IF($B$3=2,C19*'pondération non défavorisé'!N19,IF($B$3&gt;2,C19*'pondération non défavorisé'!O19,0))),0)</f>
        <v>0</v>
      </c>
      <c r="E19" s="1"/>
      <c r="F19" s="1"/>
      <c r="G19" s="1"/>
    </row>
    <row r="20" spans="1:7" ht="16.5" thickBot="1" x14ac:dyDescent="0.3">
      <c r="A20" s="1"/>
      <c r="B20" s="1"/>
      <c r="C20" s="71" t="s">
        <v>88</v>
      </c>
      <c r="D20" s="72">
        <f>SUM(D6:D19)</f>
        <v>0</v>
      </c>
      <c r="E20" s="1"/>
      <c r="F20" s="1"/>
      <c r="G20" s="1"/>
    </row>
    <row r="21" spans="1:7" ht="16.5" thickBot="1" x14ac:dyDescent="0.3">
      <c r="C21" s="55" t="s">
        <v>89</v>
      </c>
      <c r="D21" s="56">
        <f>IF($B$3=1,D20-28,IF($B$3=2,D20-29,IF($B$3&gt;2,D20-32,0)))</f>
        <v>-28</v>
      </c>
    </row>
    <row r="23" spans="1:7" ht="49.5" customHeight="1" x14ac:dyDescent="0.2">
      <c r="A23" s="150" t="s">
        <v>90</v>
      </c>
      <c r="B23" s="150"/>
      <c r="C23" s="150"/>
      <c r="D23" s="150"/>
      <c r="E23" s="150"/>
    </row>
  </sheetData>
  <sheetProtection algorithmName="SHA-512" hashValue="SW+EpxcCoWTxTdsa5+tUFvoAQblrXud0fygqMqkS887+mSFGdDcMT2FqyfH0AWdRe4fjgc4HJEtPGZgu+H+7lg==" saltValue="LTJoTeexWLR4ilEhRCevJA==" spinCount="100000" sheet="1" objects="1" scenarios="1"/>
  <mergeCells count="2">
    <mergeCell ref="A1:D1"/>
    <mergeCell ref="A23:E2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C4C08C-3146-499F-AA32-D9E7112B7C51}">
          <x14:formula1>
            <xm:f>'type GPAE non defav'!$D$3:$D$7</xm:f>
          </x14:formula1>
          <xm:sqref>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65F50-FE4A-49C3-97CD-6BF73C8343CA}">
  <dimension ref="A2:F8"/>
  <sheetViews>
    <sheetView workbookViewId="0">
      <selection activeCell="I30" sqref="I30"/>
    </sheetView>
  </sheetViews>
  <sheetFormatPr baseColWidth="10" defaultColWidth="11.5546875" defaultRowHeight="15" x14ac:dyDescent="0.2"/>
  <cols>
    <col min="2" max="2" width="29.33203125" customWidth="1"/>
  </cols>
  <sheetData>
    <row r="2" spans="1:6" x14ac:dyDescent="0.2">
      <c r="A2" t="s">
        <v>50</v>
      </c>
      <c r="B2">
        <v>1.8</v>
      </c>
      <c r="C2">
        <v>1.84</v>
      </c>
      <c r="D2">
        <f>2628*0.7+2681*0.3</f>
        <v>2643.8999999999996</v>
      </c>
      <c r="E2">
        <f>3285*0.7+3351*0.3</f>
        <v>3304.8</v>
      </c>
      <c r="F2">
        <f>3942*0.7+4021*0.3</f>
        <v>3965.7</v>
      </c>
    </row>
    <row r="3" spans="1:6" x14ac:dyDescent="0.2">
      <c r="A3" t="s">
        <v>109</v>
      </c>
      <c r="B3">
        <v>1.84</v>
      </c>
      <c r="C3">
        <v>1.95</v>
      </c>
      <c r="D3">
        <f>2681*0.7+2842*0.3</f>
        <v>2729.2999999999997</v>
      </c>
      <c r="E3">
        <f>3351*0.7+3552*0.3</f>
        <v>3411.2999999999997</v>
      </c>
      <c r="F3">
        <f>4021*0.7+4263*0.3</f>
        <v>4093.5999999999995</v>
      </c>
    </row>
    <row r="4" spans="1:6" x14ac:dyDescent="0.2">
      <c r="A4" t="s">
        <v>110</v>
      </c>
      <c r="B4">
        <v>1.95</v>
      </c>
      <c r="C4">
        <v>2</v>
      </c>
      <c r="D4">
        <f>2842*0.7+2922*0.3</f>
        <v>2866</v>
      </c>
      <c r="E4">
        <f>3552*0.7+3652*0.3</f>
        <v>3581.9999999999995</v>
      </c>
      <c r="F4">
        <f>4263*0.7+4382*0.3</f>
        <v>4298.7</v>
      </c>
    </row>
    <row r="5" spans="1:6" x14ac:dyDescent="0.2">
      <c r="A5" t="s">
        <v>111</v>
      </c>
      <c r="B5">
        <v>2</v>
      </c>
      <c r="C5">
        <v>2.0499999999999998</v>
      </c>
      <c r="D5">
        <f>2922*0.7+2998*0.3</f>
        <v>2944.7999999999997</v>
      </c>
      <c r="E5">
        <f>3652*0.7+3747*0.3</f>
        <v>3680.4999999999995</v>
      </c>
      <c r="F5">
        <f>4382*0.7+4497*0.3</f>
        <v>4416.5</v>
      </c>
    </row>
    <row r="6" spans="1:6" x14ac:dyDescent="0.2">
      <c r="A6" t="s">
        <v>112</v>
      </c>
      <c r="B6">
        <v>2.0499999999999998</v>
      </c>
      <c r="C6">
        <v>2.1</v>
      </c>
      <c r="D6">
        <f>2998*0.7+3073*0.3</f>
        <v>3020.5</v>
      </c>
      <c r="E6">
        <f>3747*0.7+3841*0.3</f>
        <v>3775.2</v>
      </c>
      <c r="F6">
        <f>4497*0.7+4609*0.3</f>
        <v>4530.5999999999995</v>
      </c>
    </row>
    <row r="7" spans="1:6" x14ac:dyDescent="0.2">
      <c r="A7" t="s">
        <v>113</v>
      </c>
      <c r="B7">
        <v>2.1</v>
      </c>
      <c r="C7">
        <v>2.17</v>
      </c>
      <c r="D7">
        <f>3073*0.7+3181*0.3</f>
        <v>3105.3999999999996</v>
      </c>
      <c r="E7">
        <f>3841*0.7+3976*0.3</f>
        <v>3881.5</v>
      </c>
      <c r="F7">
        <f>4609*0.7+4771*0.3</f>
        <v>4657.5999999999995</v>
      </c>
    </row>
    <row r="8" spans="1:6" x14ac:dyDescent="0.2">
      <c r="A8" t="s">
        <v>114</v>
      </c>
      <c r="B8">
        <v>2.17</v>
      </c>
      <c r="C8">
        <v>2.17</v>
      </c>
      <c r="D8">
        <v>3181</v>
      </c>
      <c r="E8">
        <v>3976</v>
      </c>
      <c r="F8">
        <v>4771</v>
      </c>
    </row>
  </sheetData>
  <sheetProtection algorithmName="SHA-512" hashValue="cGmOPHnfCYmyBTQV9Fn0CF8lsUWf9F3Vr4xz/GTQQ+qTQR91Bk8uBJWg8pXwxmPf/jDAXbPCGTa1fm9rgfg9Cg==" saltValue="gec6FBHcSuKo7oLhFmrO8g==" spinCount="100000" sheet="1" objects="1" scenarios="1"/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E9303-6DCD-4096-AFBA-A16E3B19E95C}">
  <dimension ref="A1:D25"/>
  <sheetViews>
    <sheetView workbookViewId="0">
      <selection activeCell="F14" sqref="F14"/>
    </sheetView>
  </sheetViews>
  <sheetFormatPr baseColWidth="10" defaultColWidth="11.5546875" defaultRowHeight="15" x14ac:dyDescent="0.2"/>
  <cols>
    <col min="1" max="1" width="19.109375" customWidth="1"/>
  </cols>
  <sheetData>
    <row r="1" spans="1:4" x14ac:dyDescent="0.2">
      <c r="B1" t="s">
        <v>44</v>
      </c>
      <c r="D1" t="s">
        <v>95</v>
      </c>
    </row>
    <row r="2" spans="1:4" x14ac:dyDescent="0.2">
      <c r="A2" s="2" t="s">
        <v>115</v>
      </c>
      <c r="B2" s="2">
        <v>14</v>
      </c>
      <c r="D2" s="2">
        <v>4</v>
      </c>
    </row>
    <row r="3" spans="1:4" x14ac:dyDescent="0.2">
      <c r="A3" s="2" t="s">
        <v>93</v>
      </c>
      <c r="B3" s="2">
        <v>13</v>
      </c>
      <c r="D3" s="2">
        <v>5</v>
      </c>
    </row>
    <row r="7" spans="1:4" x14ac:dyDescent="0.2">
      <c r="A7" s="2" t="s">
        <v>116</v>
      </c>
    </row>
    <row r="8" spans="1:4" x14ac:dyDescent="0.2">
      <c r="A8" s="2" t="s">
        <v>73</v>
      </c>
    </row>
    <row r="9" spans="1:4" x14ac:dyDescent="0.2">
      <c r="A9" s="2" t="s">
        <v>117</v>
      </c>
    </row>
    <row r="10" spans="1:4" x14ac:dyDescent="0.2">
      <c r="A10" s="2" t="s">
        <v>118</v>
      </c>
    </row>
    <row r="14" spans="1:4" x14ac:dyDescent="0.2">
      <c r="A14" s="45">
        <v>12</v>
      </c>
    </row>
    <row r="15" spans="1:4" x14ac:dyDescent="0.2">
      <c r="A15" s="45">
        <v>23</v>
      </c>
    </row>
    <row r="16" spans="1:4" x14ac:dyDescent="0.2">
      <c r="A16" s="45">
        <v>24</v>
      </c>
    </row>
    <row r="17" spans="1:1" x14ac:dyDescent="0.2">
      <c r="A17" s="45">
        <v>33</v>
      </c>
    </row>
    <row r="18" spans="1:1" x14ac:dyDescent="0.2">
      <c r="A18" s="45">
        <v>34</v>
      </c>
    </row>
    <row r="19" spans="1:1" x14ac:dyDescent="0.2">
      <c r="A19" s="45" t="s">
        <v>19</v>
      </c>
    </row>
    <row r="20" spans="1:1" x14ac:dyDescent="0.2">
      <c r="A20" s="45">
        <v>36</v>
      </c>
    </row>
    <row r="21" spans="1:1" x14ac:dyDescent="0.2">
      <c r="A21" s="45">
        <v>42</v>
      </c>
    </row>
    <row r="22" spans="1:1" x14ac:dyDescent="0.2">
      <c r="A22" s="45">
        <v>44</v>
      </c>
    </row>
    <row r="23" spans="1:1" x14ac:dyDescent="0.2">
      <c r="A23" s="45">
        <v>50</v>
      </c>
    </row>
    <row r="24" spans="1:1" x14ac:dyDescent="0.2">
      <c r="A24" s="45">
        <v>53</v>
      </c>
    </row>
    <row r="25" spans="1:1" x14ac:dyDescent="0.2">
      <c r="A25" s="45">
        <v>99</v>
      </c>
    </row>
  </sheetData>
  <sheetProtection algorithmName="SHA-512" hashValue="GV/350uhp+0l3WlWbS5mMhIadsCGWkOuujEaiIh/+8r40wQGh+KduPUbq4RHp/alYicgK+A8y1hy1fO4vlHYtQ==" saltValue="snl2E7xFeMAQVim84xPNWA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978C-74FF-492A-A26B-B6D1A8D8CF8C}">
  <dimension ref="A2:D35"/>
  <sheetViews>
    <sheetView workbookViewId="0">
      <selection activeCell="B1" sqref="B1:B1048576"/>
    </sheetView>
  </sheetViews>
  <sheetFormatPr baseColWidth="10" defaultColWidth="11.5546875" defaultRowHeight="15" x14ac:dyDescent="0.2"/>
  <sheetData>
    <row r="2" spans="1:4" x14ac:dyDescent="0.2">
      <c r="A2" t="s">
        <v>119</v>
      </c>
      <c r="B2">
        <v>14</v>
      </c>
      <c r="D2" t="s">
        <v>104</v>
      </c>
    </row>
    <row r="3" spans="1:4" x14ac:dyDescent="0.2">
      <c r="A3" t="s">
        <v>103</v>
      </c>
      <c r="B3">
        <v>20</v>
      </c>
      <c r="D3">
        <v>1</v>
      </c>
    </row>
    <row r="4" spans="1:4" x14ac:dyDescent="0.2">
      <c r="A4" t="s">
        <v>120</v>
      </c>
      <c r="B4">
        <v>20</v>
      </c>
      <c r="D4">
        <v>2</v>
      </c>
    </row>
    <row r="5" spans="1:4" x14ac:dyDescent="0.2">
      <c r="A5" t="s">
        <v>121</v>
      </c>
      <c r="B5">
        <v>20</v>
      </c>
      <c r="D5">
        <v>3</v>
      </c>
    </row>
    <row r="6" spans="1:4" x14ac:dyDescent="0.2">
      <c r="A6" t="s">
        <v>122</v>
      </c>
      <c r="B6">
        <v>22</v>
      </c>
      <c r="D6">
        <v>4</v>
      </c>
    </row>
    <row r="7" spans="1:4" x14ac:dyDescent="0.2">
      <c r="A7" t="s">
        <v>123</v>
      </c>
      <c r="B7">
        <v>22</v>
      </c>
      <c r="D7">
        <v>5</v>
      </c>
    </row>
    <row r="8" spans="1:4" x14ac:dyDescent="0.2">
      <c r="A8" t="s">
        <v>124</v>
      </c>
      <c r="B8">
        <v>22</v>
      </c>
      <c r="D8">
        <v>6</v>
      </c>
    </row>
    <row r="9" spans="1:4" x14ac:dyDescent="0.2">
      <c r="A9" t="s">
        <v>125</v>
      </c>
      <c r="B9">
        <v>24</v>
      </c>
    </row>
    <row r="10" spans="1:4" x14ac:dyDescent="0.2">
      <c r="A10" t="s">
        <v>126</v>
      </c>
      <c r="B10">
        <v>24</v>
      </c>
    </row>
    <row r="11" spans="1:4" x14ac:dyDescent="0.2">
      <c r="A11" t="s">
        <v>127</v>
      </c>
      <c r="B11">
        <v>24</v>
      </c>
    </row>
    <row r="12" spans="1:4" x14ac:dyDescent="0.2">
      <c r="A12" t="s">
        <v>128</v>
      </c>
      <c r="B12">
        <v>24</v>
      </c>
    </row>
    <row r="13" spans="1:4" x14ac:dyDescent="0.2">
      <c r="A13" t="s">
        <v>129</v>
      </c>
      <c r="B13">
        <v>24</v>
      </c>
    </row>
    <row r="14" spans="1:4" x14ac:dyDescent="0.2">
      <c r="A14" t="s">
        <v>130</v>
      </c>
      <c r="B14">
        <v>24</v>
      </c>
    </row>
    <row r="18" spans="1:1" x14ac:dyDescent="0.2">
      <c r="A18" s="45">
        <v>12</v>
      </c>
    </row>
    <row r="19" spans="1:1" x14ac:dyDescent="0.2">
      <c r="A19" s="45">
        <v>14</v>
      </c>
    </row>
    <row r="20" spans="1:1" x14ac:dyDescent="0.2">
      <c r="A20" s="45">
        <v>23</v>
      </c>
    </row>
    <row r="21" spans="1:1" x14ac:dyDescent="0.2">
      <c r="A21" s="45">
        <v>24</v>
      </c>
    </row>
    <row r="22" spans="1:1" x14ac:dyDescent="0.2">
      <c r="A22" s="45">
        <v>33</v>
      </c>
    </row>
    <row r="23" spans="1:1" x14ac:dyDescent="0.2">
      <c r="A23" s="45">
        <v>34</v>
      </c>
    </row>
    <row r="24" spans="1:1" x14ac:dyDescent="0.2">
      <c r="A24" s="45" t="s">
        <v>19</v>
      </c>
    </row>
    <row r="25" spans="1:1" x14ac:dyDescent="0.2">
      <c r="A25" s="45">
        <v>36</v>
      </c>
    </row>
    <row r="26" spans="1:1" x14ac:dyDescent="0.2">
      <c r="A26" s="45">
        <v>42</v>
      </c>
    </row>
    <row r="27" spans="1:1" x14ac:dyDescent="0.2">
      <c r="A27" s="45">
        <v>44</v>
      </c>
    </row>
    <row r="28" spans="1:1" x14ac:dyDescent="0.2">
      <c r="A28" s="45">
        <v>50</v>
      </c>
    </row>
    <row r="29" spans="1:1" x14ac:dyDescent="0.2">
      <c r="A29" s="45">
        <v>53</v>
      </c>
    </row>
    <row r="30" spans="1:1" x14ac:dyDescent="0.2">
      <c r="A30" s="45">
        <v>99</v>
      </c>
    </row>
    <row r="31" spans="1:1" ht="15.75" thickBot="1" x14ac:dyDescent="0.25">
      <c r="A31" s="46" t="s">
        <v>28</v>
      </c>
    </row>
    <row r="34" spans="1:2" x14ac:dyDescent="0.2">
      <c r="A34" s="2" t="s">
        <v>107</v>
      </c>
      <c r="B34">
        <v>20</v>
      </c>
    </row>
    <row r="35" spans="1:2" x14ac:dyDescent="0.2">
      <c r="A35" s="2" t="s">
        <v>131</v>
      </c>
      <c r="B35">
        <v>18</v>
      </c>
    </row>
  </sheetData>
  <sheetProtection algorithmName="SHA-512" hashValue="W1AeNJKQxm0tO4Bo2vuZRC2OP/WRiDt8NwfvRDIbsy21GqZSGVdPephakxVtwGIvlZ/pBQ6t32nXpzkuLDGMiQ==" saltValue="vN31RQRvAfF85e9qDq2Zuw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A3B4-D0C1-479A-A86A-741C0C4F41E6}">
  <dimension ref="A1"/>
  <sheetViews>
    <sheetView workbookViewId="0">
      <selection activeCell="M14" sqref="M14"/>
    </sheetView>
  </sheetViews>
  <sheetFormatPr baseColWidth="10" defaultColWidth="11.5546875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topLeftCell="B2" zoomScale="70" zoomScaleNormal="70" workbookViewId="0">
      <selection activeCell="J42" sqref="J42"/>
    </sheetView>
  </sheetViews>
  <sheetFormatPr baseColWidth="10" defaultColWidth="11.5546875" defaultRowHeight="15" x14ac:dyDescent="0.2"/>
  <cols>
    <col min="2" max="2" width="16.88671875" customWidth="1"/>
    <col min="5" max="5" width="5.6640625" hidden="1" customWidth="1"/>
    <col min="12" max="12" width="0" hidden="1" customWidth="1"/>
  </cols>
  <sheetData>
    <row r="1" spans="1:17" hidden="1" x14ac:dyDescent="0.2">
      <c r="C1">
        <v>16</v>
      </c>
      <c r="D1">
        <v>18</v>
      </c>
      <c r="F1">
        <v>20</v>
      </c>
      <c r="G1">
        <v>20</v>
      </c>
      <c r="H1">
        <v>20</v>
      </c>
      <c r="I1">
        <v>20</v>
      </c>
      <c r="J1">
        <v>20</v>
      </c>
      <c r="K1">
        <v>20</v>
      </c>
      <c r="M1">
        <v>28</v>
      </c>
      <c r="N1">
        <v>29</v>
      </c>
      <c r="O1">
        <v>32</v>
      </c>
      <c r="P1">
        <v>32</v>
      </c>
      <c r="Q1">
        <v>32</v>
      </c>
    </row>
    <row r="2" spans="1:17" ht="24" thickBot="1" x14ac:dyDescent="0.4">
      <c r="C2" s="34" t="s">
        <v>30</v>
      </c>
    </row>
    <row r="3" spans="1:17" ht="21" thickBot="1" x14ac:dyDescent="0.35">
      <c r="C3" s="137" t="s">
        <v>1</v>
      </c>
      <c r="D3" s="139"/>
      <c r="F3" s="137" t="s">
        <v>2</v>
      </c>
      <c r="G3" s="138"/>
      <c r="H3" s="138"/>
      <c r="I3" s="138"/>
      <c r="J3" s="138"/>
      <c r="K3" s="139"/>
      <c r="M3" s="137" t="s">
        <v>3</v>
      </c>
      <c r="N3" s="138"/>
      <c r="O3" s="138"/>
      <c r="P3" s="138"/>
      <c r="Q3" s="139"/>
    </row>
    <row r="4" spans="1:17" ht="16.5" thickBot="1" x14ac:dyDescent="0.3">
      <c r="A4" s="142" t="s">
        <v>4</v>
      </c>
      <c r="B4" s="143"/>
      <c r="C4" s="29" t="s">
        <v>5</v>
      </c>
      <c r="D4" s="27" t="s">
        <v>6</v>
      </c>
      <c r="E4" s="47"/>
      <c r="F4" s="29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27" t="s">
        <v>12</v>
      </c>
      <c r="L4" s="49"/>
      <c r="M4" s="29" t="s">
        <v>7</v>
      </c>
      <c r="N4" s="48" t="s">
        <v>8</v>
      </c>
      <c r="O4" s="48" t="s">
        <v>9</v>
      </c>
      <c r="P4" s="48" t="s">
        <v>10</v>
      </c>
      <c r="Q4" s="27" t="s">
        <v>11</v>
      </c>
    </row>
    <row r="5" spans="1:17" ht="15.75" x14ac:dyDescent="0.25">
      <c r="A5" s="93">
        <v>12</v>
      </c>
      <c r="B5" s="96" t="s">
        <v>13</v>
      </c>
      <c r="C5" s="133">
        <v>1</v>
      </c>
      <c r="D5" s="21">
        <f>D1/10</f>
        <v>1.8</v>
      </c>
      <c r="E5" s="22">
        <v>12</v>
      </c>
      <c r="F5" s="20">
        <f t="shared" ref="F5:F16" si="0">$F$1/E5</f>
        <v>1.6666666666666667</v>
      </c>
      <c r="G5" s="23">
        <f t="shared" ref="G5:G16" si="1">$G$1/E5</f>
        <v>1.6666666666666667</v>
      </c>
      <c r="H5" s="23">
        <f t="shared" ref="H5:H16" si="2">$H$1/E5</f>
        <v>1.6666666666666667</v>
      </c>
      <c r="I5" s="23">
        <f t="shared" ref="I5:I16" si="3">$I$1/E5</f>
        <v>1.6666666666666667</v>
      </c>
      <c r="J5" s="23">
        <f t="shared" ref="J5:J16" si="4">$J$1/E5</f>
        <v>1.6666666666666667</v>
      </c>
      <c r="K5" s="21">
        <f t="shared" ref="K5:K16" si="5">$K$1/E5</f>
        <v>1.6666666666666667</v>
      </c>
      <c r="L5" s="22">
        <v>14</v>
      </c>
      <c r="M5" s="20">
        <f t="shared" ref="M5:M10" si="6">$M$1/L5</f>
        <v>2</v>
      </c>
      <c r="N5" s="23">
        <f t="shared" ref="N5:N10" si="7">$N$1/L5</f>
        <v>2.0714285714285716</v>
      </c>
      <c r="O5" s="23">
        <f t="shared" ref="O5:O10" si="8">$O$1/L5</f>
        <v>2.2857142857142856</v>
      </c>
      <c r="P5" s="23">
        <f t="shared" ref="P5:P10" si="9">$P$1/L5</f>
        <v>2.2857142857142856</v>
      </c>
      <c r="Q5" s="21">
        <f t="shared" ref="Q5:Q10" si="10">$Q$1/L5</f>
        <v>2.2857142857142856</v>
      </c>
    </row>
    <row r="6" spans="1:17" ht="15.75" x14ac:dyDescent="0.25">
      <c r="A6" s="94">
        <v>14</v>
      </c>
      <c r="B6" s="89" t="s">
        <v>14</v>
      </c>
      <c r="C6" s="87"/>
      <c r="D6" s="84"/>
      <c r="E6" s="22">
        <v>9</v>
      </c>
      <c r="F6" s="24">
        <f t="shared" si="0"/>
        <v>2.2222222222222223</v>
      </c>
      <c r="G6" s="25">
        <f t="shared" si="1"/>
        <v>2.2222222222222223</v>
      </c>
      <c r="H6" s="25">
        <f t="shared" si="2"/>
        <v>2.2222222222222223</v>
      </c>
      <c r="I6" s="25">
        <f t="shared" si="3"/>
        <v>2.2222222222222223</v>
      </c>
      <c r="J6" s="25">
        <f t="shared" si="4"/>
        <v>2.2222222222222223</v>
      </c>
      <c r="K6" s="19">
        <f t="shared" si="5"/>
        <v>2.2222222222222223</v>
      </c>
      <c r="L6" s="22">
        <v>11</v>
      </c>
      <c r="M6" s="24">
        <f t="shared" si="6"/>
        <v>2.5454545454545454</v>
      </c>
      <c r="N6" s="25">
        <f t="shared" si="7"/>
        <v>2.6363636363636362</v>
      </c>
      <c r="O6" s="25">
        <f t="shared" si="8"/>
        <v>2.9090909090909092</v>
      </c>
      <c r="P6" s="25">
        <f t="shared" si="9"/>
        <v>2.9090909090909092</v>
      </c>
      <c r="Q6" s="19">
        <f t="shared" si="10"/>
        <v>2.9090909090909092</v>
      </c>
    </row>
    <row r="7" spans="1:17" ht="15.75" x14ac:dyDescent="0.25">
      <c r="A7" s="94">
        <v>23</v>
      </c>
      <c r="B7" s="89" t="s">
        <v>15</v>
      </c>
      <c r="C7" s="24">
        <f>C1/6</f>
        <v>2.6666666666666665</v>
      </c>
      <c r="D7" s="19">
        <f>D1/6</f>
        <v>3</v>
      </c>
      <c r="E7" s="22">
        <v>6</v>
      </c>
      <c r="F7" s="24">
        <f t="shared" si="0"/>
        <v>3.3333333333333335</v>
      </c>
      <c r="G7" s="25">
        <f t="shared" si="1"/>
        <v>3.3333333333333335</v>
      </c>
      <c r="H7" s="25">
        <f t="shared" si="2"/>
        <v>3.3333333333333335</v>
      </c>
      <c r="I7" s="25">
        <f t="shared" si="3"/>
        <v>3.3333333333333335</v>
      </c>
      <c r="J7" s="25">
        <f t="shared" si="4"/>
        <v>3.3333333333333335</v>
      </c>
      <c r="K7" s="19">
        <f t="shared" si="5"/>
        <v>3.3333333333333335</v>
      </c>
      <c r="L7" s="22">
        <v>6</v>
      </c>
      <c r="M7" s="24">
        <f t="shared" si="6"/>
        <v>4.666666666666667</v>
      </c>
      <c r="N7" s="25">
        <f t="shared" si="7"/>
        <v>4.833333333333333</v>
      </c>
      <c r="O7" s="25">
        <f t="shared" si="8"/>
        <v>5.333333333333333</v>
      </c>
      <c r="P7" s="25">
        <f t="shared" si="9"/>
        <v>5.333333333333333</v>
      </c>
      <c r="Q7" s="19">
        <f t="shared" si="10"/>
        <v>5.333333333333333</v>
      </c>
    </row>
    <row r="8" spans="1:17" ht="15.75" x14ac:dyDescent="0.25">
      <c r="A8" s="94">
        <v>24</v>
      </c>
      <c r="B8" s="89" t="s">
        <v>16</v>
      </c>
      <c r="C8" s="24">
        <f>C1/10</f>
        <v>1.6</v>
      </c>
      <c r="D8" s="19">
        <f>D1/10</f>
        <v>1.8</v>
      </c>
      <c r="E8" s="22">
        <v>12</v>
      </c>
      <c r="F8" s="24">
        <f t="shared" si="0"/>
        <v>1.6666666666666667</v>
      </c>
      <c r="G8" s="25">
        <f t="shared" si="1"/>
        <v>1.6666666666666667</v>
      </c>
      <c r="H8" s="25">
        <f t="shared" si="2"/>
        <v>1.6666666666666667</v>
      </c>
      <c r="I8" s="25">
        <f t="shared" si="3"/>
        <v>1.6666666666666667</v>
      </c>
      <c r="J8" s="25">
        <f t="shared" si="4"/>
        <v>1.6666666666666667</v>
      </c>
      <c r="K8" s="19">
        <f t="shared" si="5"/>
        <v>1.6666666666666667</v>
      </c>
      <c r="L8" s="22">
        <v>14</v>
      </c>
      <c r="M8" s="24">
        <f t="shared" si="6"/>
        <v>2</v>
      </c>
      <c r="N8" s="25">
        <f t="shared" si="7"/>
        <v>2.0714285714285716</v>
      </c>
      <c r="O8" s="25">
        <f t="shared" si="8"/>
        <v>2.2857142857142856</v>
      </c>
      <c r="P8" s="25">
        <f t="shared" si="9"/>
        <v>2.2857142857142856</v>
      </c>
      <c r="Q8" s="19">
        <f t="shared" si="10"/>
        <v>2.2857142857142856</v>
      </c>
    </row>
    <row r="9" spans="1:17" ht="15.75" x14ac:dyDescent="0.25">
      <c r="A9" s="94">
        <v>33</v>
      </c>
      <c r="B9" s="89" t="s">
        <v>17</v>
      </c>
      <c r="C9" s="24">
        <f>C1/12</f>
        <v>1.3333333333333333</v>
      </c>
      <c r="D9" s="19">
        <f>D1/12</f>
        <v>1.5</v>
      </c>
      <c r="E9" s="22">
        <v>14</v>
      </c>
      <c r="F9" s="24">
        <f t="shared" si="0"/>
        <v>1.4285714285714286</v>
      </c>
      <c r="G9" s="25">
        <f t="shared" si="1"/>
        <v>1.4285714285714286</v>
      </c>
      <c r="H9" s="25">
        <f t="shared" si="2"/>
        <v>1.4285714285714286</v>
      </c>
      <c r="I9" s="25">
        <f t="shared" si="3"/>
        <v>1.4285714285714286</v>
      </c>
      <c r="J9" s="25">
        <f t="shared" si="4"/>
        <v>1.4285714285714286</v>
      </c>
      <c r="K9" s="19">
        <f t="shared" si="5"/>
        <v>1.4285714285714286</v>
      </c>
      <c r="L9" s="22">
        <v>16</v>
      </c>
      <c r="M9" s="24">
        <f t="shared" si="6"/>
        <v>1.75</v>
      </c>
      <c r="N9" s="25">
        <f t="shared" si="7"/>
        <v>1.8125</v>
      </c>
      <c r="O9" s="25">
        <f t="shared" si="8"/>
        <v>2</v>
      </c>
      <c r="P9" s="25">
        <f t="shared" si="9"/>
        <v>2</v>
      </c>
      <c r="Q9" s="19">
        <f t="shared" si="10"/>
        <v>2</v>
      </c>
    </row>
    <row r="10" spans="1:17" ht="15.75" x14ac:dyDescent="0.25">
      <c r="A10" s="94">
        <v>34</v>
      </c>
      <c r="B10" s="89" t="s">
        <v>18</v>
      </c>
      <c r="C10" s="24">
        <f>C1/8</f>
        <v>2</v>
      </c>
      <c r="D10" s="19">
        <f>D1/8</f>
        <v>2.25</v>
      </c>
      <c r="E10" s="22">
        <v>10</v>
      </c>
      <c r="F10" s="24">
        <f t="shared" si="0"/>
        <v>2</v>
      </c>
      <c r="G10" s="25">
        <f t="shared" si="1"/>
        <v>2</v>
      </c>
      <c r="H10" s="25">
        <f t="shared" si="2"/>
        <v>2</v>
      </c>
      <c r="I10" s="25">
        <f t="shared" si="3"/>
        <v>2</v>
      </c>
      <c r="J10" s="25">
        <f t="shared" si="4"/>
        <v>2</v>
      </c>
      <c r="K10" s="19">
        <f t="shared" si="5"/>
        <v>2</v>
      </c>
      <c r="L10" s="22">
        <v>12</v>
      </c>
      <c r="M10" s="24">
        <f t="shared" si="6"/>
        <v>2.3333333333333335</v>
      </c>
      <c r="N10" s="25">
        <f t="shared" si="7"/>
        <v>2.4166666666666665</v>
      </c>
      <c r="O10" s="25">
        <f t="shared" si="8"/>
        <v>2.6666666666666665</v>
      </c>
      <c r="P10" s="25">
        <f t="shared" si="9"/>
        <v>2.6666666666666665</v>
      </c>
      <c r="Q10" s="19">
        <f t="shared" si="10"/>
        <v>2.6666666666666665</v>
      </c>
    </row>
    <row r="11" spans="1:17" ht="31.5" x14ac:dyDescent="0.25">
      <c r="A11" s="94" t="s">
        <v>19</v>
      </c>
      <c r="B11" s="90" t="s">
        <v>20</v>
      </c>
      <c r="C11" s="24">
        <f>C1/7</f>
        <v>2.2857142857142856</v>
      </c>
      <c r="D11" s="19">
        <f>D1/7</f>
        <v>2.5714285714285716</v>
      </c>
      <c r="E11" s="22">
        <v>8</v>
      </c>
      <c r="F11" s="24">
        <f t="shared" si="0"/>
        <v>2.5</v>
      </c>
      <c r="G11" s="25">
        <f t="shared" si="1"/>
        <v>2.5</v>
      </c>
      <c r="H11" s="25">
        <f t="shared" si="2"/>
        <v>2.5</v>
      </c>
      <c r="I11" s="25">
        <f t="shared" si="3"/>
        <v>2.5</v>
      </c>
      <c r="J11" s="25">
        <f t="shared" si="4"/>
        <v>2.5</v>
      </c>
      <c r="K11" s="19">
        <f t="shared" si="5"/>
        <v>2.5</v>
      </c>
      <c r="L11" s="22"/>
      <c r="M11" s="82"/>
      <c r="N11" s="83"/>
      <c r="O11" s="83"/>
      <c r="P11" s="83"/>
      <c r="Q11" s="84"/>
    </row>
    <row r="12" spans="1:17" ht="15.75" x14ac:dyDescent="0.25">
      <c r="A12" s="94">
        <v>36</v>
      </c>
      <c r="B12" s="89" t="s">
        <v>21</v>
      </c>
      <c r="C12" s="24">
        <f>C1/8</f>
        <v>2</v>
      </c>
      <c r="D12" s="19">
        <f>D1/8</f>
        <v>2.25</v>
      </c>
      <c r="E12" s="22">
        <v>10</v>
      </c>
      <c r="F12" s="24">
        <f t="shared" si="0"/>
        <v>2</v>
      </c>
      <c r="G12" s="25">
        <f t="shared" si="1"/>
        <v>2</v>
      </c>
      <c r="H12" s="25">
        <f t="shared" si="2"/>
        <v>2</v>
      </c>
      <c r="I12" s="25">
        <f t="shared" si="3"/>
        <v>2</v>
      </c>
      <c r="J12" s="25">
        <f t="shared" si="4"/>
        <v>2</v>
      </c>
      <c r="K12" s="19">
        <f t="shared" si="5"/>
        <v>2</v>
      </c>
      <c r="L12" s="22">
        <v>11</v>
      </c>
      <c r="M12" s="24">
        <f>$M$1/L12</f>
        <v>2.5454545454545454</v>
      </c>
      <c r="N12" s="25">
        <f>$N$1/L12</f>
        <v>2.6363636363636362</v>
      </c>
      <c r="O12" s="25">
        <f>$O$1/L12</f>
        <v>2.9090909090909092</v>
      </c>
      <c r="P12" s="25">
        <f>$P$1/L12</f>
        <v>2.9090909090909092</v>
      </c>
      <c r="Q12" s="19">
        <f>$Q$1/L12</f>
        <v>2.9090909090909092</v>
      </c>
    </row>
    <row r="13" spans="1:17" ht="15.75" x14ac:dyDescent="0.25">
      <c r="A13" s="94">
        <v>42</v>
      </c>
      <c r="B13" s="89" t="s">
        <v>22</v>
      </c>
      <c r="C13" s="24">
        <f>C1/7</f>
        <v>2.2857142857142856</v>
      </c>
      <c r="D13" s="19">
        <f>D1/7</f>
        <v>2.5714285714285716</v>
      </c>
      <c r="E13" s="22">
        <v>7</v>
      </c>
      <c r="F13" s="24">
        <f t="shared" si="0"/>
        <v>2.8571428571428572</v>
      </c>
      <c r="G13" s="25">
        <f t="shared" si="1"/>
        <v>2.8571428571428572</v>
      </c>
      <c r="H13" s="25">
        <f t="shared" si="2"/>
        <v>2.8571428571428572</v>
      </c>
      <c r="I13" s="25">
        <f t="shared" si="3"/>
        <v>2.8571428571428572</v>
      </c>
      <c r="J13" s="25">
        <f t="shared" si="4"/>
        <v>2.8571428571428572</v>
      </c>
      <c r="K13" s="19">
        <f t="shared" si="5"/>
        <v>2.8571428571428572</v>
      </c>
      <c r="L13" s="22">
        <v>7</v>
      </c>
      <c r="M13" s="24">
        <f>$M$1/L13</f>
        <v>4</v>
      </c>
      <c r="N13" s="25">
        <f>$N$1/L13</f>
        <v>4.1428571428571432</v>
      </c>
      <c r="O13" s="25">
        <f>$O$1/L13</f>
        <v>4.5714285714285712</v>
      </c>
      <c r="P13" s="25">
        <f>$P$1/L13</f>
        <v>4.5714285714285712</v>
      </c>
      <c r="Q13" s="19">
        <f>$Q$1/L13</f>
        <v>4.5714285714285712</v>
      </c>
    </row>
    <row r="14" spans="1:17" ht="15.75" x14ac:dyDescent="0.25">
      <c r="A14" s="94">
        <v>44</v>
      </c>
      <c r="B14" s="89" t="s">
        <v>23</v>
      </c>
      <c r="C14" s="24">
        <f>C1/7</f>
        <v>2.2857142857142856</v>
      </c>
      <c r="D14" s="19">
        <f>D1/7</f>
        <v>2.5714285714285716</v>
      </c>
      <c r="E14" s="22">
        <v>7</v>
      </c>
      <c r="F14" s="24">
        <f t="shared" si="0"/>
        <v>2.8571428571428572</v>
      </c>
      <c r="G14" s="25">
        <f t="shared" si="1"/>
        <v>2.8571428571428572</v>
      </c>
      <c r="H14" s="25">
        <f t="shared" si="2"/>
        <v>2.8571428571428572</v>
      </c>
      <c r="I14" s="25">
        <f t="shared" si="3"/>
        <v>2.8571428571428572</v>
      </c>
      <c r="J14" s="25">
        <f t="shared" si="4"/>
        <v>2.8571428571428572</v>
      </c>
      <c r="K14" s="19">
        <f t="shared" si="5"/>
        <v>2.8571428571428572</v>
      </c>
      <c r="L14" s="22">
        <v>7</v>
      </c>
      <c r="M14" s="24">
        <f>$M$1/L14</f>
        <v>4</v>
      </c>
      <c r="N14" s="25">
        <f>$N$1/L14</f>
        <v>4.1428571428571432</v>
      </c>
      <c r="O14" s="25">
        <f>$O$1/L14</f>
        <v>4.5714285714285712</v>
      </c>
      <c r="P14" s="25">
        <f>$P$1/L14</f>
        <v>4.5714285714285712</v>
      </c>
      <c r="Q14" s="19">
        <f>$Q$1/L14</f>
        <v>4.5714285714285712</v>
      </c>
    </row>
    <row r="15" spans="1:17" ht="15.75" x14ac:dyDescent="0.25">
      <c r="A15" s="94">
        <v>50</v>
      </c>
      <c r="B15" s="89" t="s">
        <v>24</v>
      </c>
      <c r="C15" s="24">
        <f>C1/6</f>
        <v>2.6666666666666665</v>
      </c>
      <c r="D15" s="19">
        <f>D1/6</f>
        <v>3</v>
      </c>
      <c r="E15" s="22">
        <v>7</v>
      </c>
      <c r="F15" s="24">
        <f t="shared" si="0"/>
        <v>2.8571428571428572</v>
      </c>
      <c r="G15" s="25">
        <f t="shared" si="1"/>
        <v>2.8571428571428572</v>
      </c>
      <c r="H15" s="25">
        <f t="shared" si="2"/>
        <v>2.8571428571428572</v>
      </c>
      <c r="I15" s="25">
        <f t="shared" si="3"/>
        <v>2.8571428571428572</v>
      </c>
      <c r="J15" s="25">
        <f t="shared" si="4"/>
        <v>2.8571428571428572</v>
      </c>
      <c r="K15" s="19">
        <f t="shared" si="5"/>
        <v>2.8571428571428572</v>
      </c>
      <c r="L15" s="22">
        <v>8</v>
      </c>
      <c r="M15" s="24">
        <f>$M$1/L15</f>
        <v>3.5</v>
      </c>
      <c r="N15" s="25">
        <f>$N$1/L15</f>
        <v>3.625</v>
      </c>
      <c r="O15" s="25">
        <f>$O$1/L15</f>
        <v>4</v>
      </c>
      <c r="P15" s="25">
        <f>$P$1/L15</f>
        <v>4</v>
      </c>
      <c r="Q15" s="19">
        <f>$Q$1/L15</f>
        <v>4</v>
      </c>
    </row>
    <row r="16" spans="1:17" ht="15.75" x14ac:dyDescent="0.25">
      <c r="A16" s="94">
        <v>53</v>
      </c>
      <c r="B16" s="89" t="s">
        <v>25</v>
      </c>
      <c r="C16" s="24">
        <f>C1/6</f>
        <v>2.6666666666666665</v>
      </c>
      <c r="D16" s="19">
        <f>D1/6</f>
        <v>3</v>
      </c>
      <c r="E16" s="22">
        <v>7</v>
      </c>
      <c r="F16" s="24">
        <f t="shared" si="0"/>
        <v>2.8571428571428572</v>
      </c>
      <c r="G16" s="25">
        <f t="shared" si="1"/>
        <v>2.8571428571428572</v>
      </c>
      <c r="H16" s="25">
        <f t="shared" si="2"/>
        <v>2.8571428571428572</v>
      </c>
      <c r="I16" s="25">
        <f t="shared" si="3"/>
        <v>2.8571428571428572</v>
      </c>
      <c r="J16" s="25">
        <f t="shared" si="4"/>
        <v>2.8571428571428572</v>
      </c>
      <c r="K16" s="19">
        <f t="shared" si="5"/>
        <v>2.8571428571428572</v>
      </c>
      <c r="L16" s="22">
        <v>8</v>
      </c>
      <c r="M16" s="24">
        <f>$M$1/L16</f>
        <v>3.5</v>
      </c>
      <c r="N16" s="25">
        <f>$N$1/L16</f>
        <v>3.625</v>
      </c>
      <c r="O16" s="25">
        <f>$O$1/L16</f>
        <v>4</v>
      </c>
      <c r="P16" s="25">
        <f>$P$1/L16</f>
        <v>4</v>
      </c>
      <c r="Q16" s="19">
        <f>$Q$1/L16</f>
        <v>4</v>
      </c>
    </row>
    <row r="17" spans="1:17" ht="15.75" x14ac:dyDescent="0.25">
      <c r="A17" s="94">
        <v>98</v>
      </c>
      <c r="B17" s="90" t="s">
        <v>31</v>
      </c>
      <c r="C17" s="99"/>
      <c r="D17" s="84"/>
      <c r="E17" s="100"/>
      <c r="F17" s="82"/>
      <c r="G17" s="83"/>
      <c r="H17" s="83"/>
      <c r="I17" s="83"/>
      <c r="J17" s="83"/>
      <c r="K17" s="84"/>
      <c r="L17" s="100"/>
      <c r="M17" s="82"/>
      <c r="N17" s="83"/>
      <c r="O17" s="83"/>
      <c r="P17" s="83"/>
      <c r="Q17" s="84"/>
    </row>
    <row r="18" spans="1:17" ht="31.5" x14ac:dyDescent="0.25">
      <c r="A18" s="97">
        <v>99</v>
      </c>
      <c r="B18" s="91" t="s">
        <v>27</v>
      </c>
      <c r="C18" s="35">
        <f>C1/8</f>
        <v>2</v>
      </c>
      <c r="D18" s="36">
        <f>D1/8</f>
        <v>2.25</v>
      </c>
      <c r="E18" s="22">
        <v>10</v>
      </c>
      <c r="F18" s="35">
        <f>$F$1/E18</f>
        <v>2</v>
      </c>
      <c r="G18" s="37">
        <f>$G$1/E18</f>
        <v>2</v>
      </c>
      <c r="H18" s="37">
        <f>$H$1/E18</f>
        <v>2</v>
      </c>
      <c r="I18" s="37">
        <f>$I$1/E18</f>
        <v>2</v>
      </c>
      <c r="J18" s="37">
        <f>$J$1/E18</f>
        <v>2</v>
      </c>
      <c r="K18" s="36">
        <f>$K$1/E18</f>
        <v>2</v>
      </c>
      <c r="L18" s="22">
        <v>11</v>
      </c>
      <c r="M18" s="35">
        <f>$M$1/L18</f>
        <v>2.5454545454545454</v>
      </c>
      <c r="N18" s="37">
        <f>$N$1/L18</f>
        <v>2.6363636363636362</v>
      </c>
      <c r="O18" s="37">
        <f>$O$1/L18</f>
        <v>2.9090909090909092</v>
      </c>
      <c r="P18" s="37">
        <f>$P$1/L18</f>
        <v>2.9090909090909092</v>
      </c>
      <c r="Q18" s="36">
        <f>$Q$1/L18</f>
        <v>2.9090909090909092</v>
      </c>
    </row>
    <row r="19" spans="1:17" ht="32.25" thickBot="1" x14ac:dyDescent="0.3">
      <c r="A19" s="98" t="s">
        <v>28</v>
      </c>
      <c r="B19" s="92" t="s">
        <v>29</v>
      </c>
      <c r="C19" s="85"/>
      <c r="D19" s="86"/>
      <c r="E19" s="42">
        <v>16</v>
      </c>
      <c r="F19" s="38">
        <f>$F$1/E19</f>
        <v>1.25</v>
      </c>
      <c r="G19" s="39">
        <f>$G$1/E19</f>
        <v>1.25</v>
      </c>
      <c r="H19" s="39">
        <f>$H$1/E19</f>
        <v>1.25</v>
      </c>
      <c r="I19" s="39">
        <f>$I$1/E19</f>
        <v>1.25</v>
      </c>
      <c r="J19" s="39">
        <f>$J$1/E19</f>
        <v>1.25</v>
      </c>
      <c r="K19" s="40">
        <f>$K$1/E19</f>
        <v>1.25</v>
      </c>
      <c r="L19" s="41"/>
      <c r="M19" s="38">
        <f>M1/20</f>
        <v>1.4</v>
      </c>
      <c r="N19" s="39">
        <f t="shared" ref="N19:Q19" si="11">N1/20</f>
        <v>1.45</v>
      </c>
      <c r="O19" s="39">
        <f t="shared" si="11"/>
        <v>1.6</v>
      </c>
      <c r="P19" s="39">
        <f t="shared" si="11"/>
        <v>1.6</v>
      </c>
      <c r="Q19" s="40">
        <f t="shared" si="11"/>
        <v>1.6</v>
      </c>
    </row>
  </sheetData>
  <sheetProtection algorithmName="SHA-512" hashValue="esm3PiZtbh91h/FKIpjnRMxxAZpQryL/QEHGur8dvsrt+RznLWRpRgppPHIATipy1hzXOyXMVR2A6FdWdfZw3w==" saltValue="FuyMABccRSVRXAQ2HvhsNQ==" spinCount="100000" sheet="1" objects="1" scenarios="1"/>
  <mergeCells count="4">
    <mergeCell ref="F3:K3"/>
    <mergeCell ref="M3:Q3"/>
    <mergeCell ref="C3:D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22"/>
  <sheetViews>
    <sheetView topLeftCell="A9" zoomScale="85" zoomScaleNormal="85" workbookViewId="0">
      <selection activeCell="O22" sqref="O22"/>
    </sheetView>
  </sheetViews>
  <sheetFormatPr baseColWidth="10" defaultColWidth="11.5546875" defaultRowHeight="15" x14ac:dyDescent="0.2"/>
  <cols>
    <col min="1" max="1" width="15.33203125" customWidth="1"/>
    <col min="2" max="2" width="15.44140625" customWidth="1"/>
    <col min="3" max="3" width="13.33203125" customWidth="1"/>
    <col min="5" max="5" width="13.109375" customWidth="1"/>
    <col min="6" max="7" width="14" customWidth="1"/>
    <col min="8" max="8" width="13.6640625" customWidth="1"/>
    <col min="9" max="9" width="15.33203125" customWidth="1"/>
    <col min="10" max="10" width="20.109375" customWidth="1"/>
    <col min="11" max="11" width="12.88671875" customWidth="1"/>
    <col min="12" max="12" width="18.44140625" customWidth="1"/>
    <col min="13" max="13" width="13.109375" customWidth="1"/>
    <col min="14" max="14" width="12.88671875" customWidth="1"/>
  </cols>
  <sheetData>
    <row r="2" spans="1:16" ht="48.6" customHeight="1" x14ac:dyDescent="0.3">
      <c r="A2" s="145" t="s">
        <v>32</v>
      </c>
      <c r="B2" s="145"/>
      <c r="C2" s="145"/>
      <c r="D2" s="145"/>
      <c r="E2" s="145"/>
      <c r="F2" s="145"/>
      <c r="G2" s="145"/>
      <c r="H2" s="145"/>
      <c r="I2" s="145"/>
    </row>
    <row r="3" spans="1:16" x14ac:dyDescent="0.2">
      <c r="A3" s="1"/>
    </row>
    <row r="5" spans="1:16" ht="27" thickBot="1" x14ac:dyDescent="0.45">
      <c r="B5" s="144" t="s">
        <v>33</v>
      </c>
      <c r="C5" s="144"/>
      <c r="D5" s="144"/>
      <c r="E5" s="144"/>
      <c r="F5" s="144"/>
      <c r="G5" s="144"/>
    </row>
    <row r="6" spans="1:16" ht="48" thickBot="1" x14ac:dyDescent="0.3">
      <c r="A6" s="121" t="s">
        <v>4</v>
      </c>
      <c r="B6" s="132" t="s">
        <v>13</v>
      </c>
      <c r="C6" s="116" t="s">
        <v>34</v>
      </c>
      <c r="D6" s="116" t="s">
        <v>35</v>
      </c>
      <c r="E6" s="116" t="s">
        <v>36</v>
      </c>
      <c r="F6" s="116" t="s">
        <v>37</v>
      </c>
      <c r="G6" s="116" t="s">
        <v>38</v>
      </c>
      <c r="H6" s="116" t="s">
        <v>27</v>
      </c>
      <c r="I6" s="116" t="s">
        <v>24</v>
      </c>
      <c r="J6" s="116" t="s">
        <v>39</v>
      </c>
      <c r="K6" s="116" t="s">
        <v>40</v>
      </c>
      <c r="L6" s="116" t="s">
        <v>41</v>
      </c>
      <c r="M6" s="117" t="s">
        <v>15</v>
      </c>
      <c r="N6" s="8" t="s">
        <v>42</v>
      </c>
    </row>
    <row r="7" spans="1:16" ht="16.5" thickBot="1" x14ac:dyDescent="0.3">
      <c r="A7" s="110" t="s">
        <v>43</v>
      </c>
      <c r="B7" s="102">
        <v>12</v>
      </c>
      <c r="C7" s="103">
        <v>33</v>
      </c>
      <c r="D7" s="103">
        <v>24</v>
      </c>
      <c r="E7" s="103">
        <v>34</v>
      </c>
      <c r="F7" s="103" t="s">
        <v>19</v>
      </c>
      <c r="G7" s="103">
        <v>36</v>
      </c>
      <c r="H7" s="103">
        <v>99</v>
      </c>
      <c r="I7" s="103">
        <v>50</v>
      </c>
      <c r="J7" s="103">
        <v>53</v>
      </c>
      <c r="K7" s="103">
        <v>44</v>
      </c>
      <c r="L7" s="103">
        <v>42</v>
      </c>
      <c r="M7" s="104">
        <v>23</v>
      </c>
      <c r="N7" s="9"/>
    </row>
    <row r="8" spans="1:16" ht="16.5" thickBot="1" x14ac:dyDescent="0.3">
      <c r="A8" s="110" t="s">
        <v>44</v>
      </c>
      <c r="B8" s="105">
        <v>10</v>
      </c>
      <c r="C8" s="106">
        <v>12</v>
      </c>
      <c r="D8" s="106">
        <v>10</v>
      </c>
      <c r="E8" s="106">
        <v>8</v>
      </c>
      <c r="F8" s="106">
        <v>7</v>
      </c>
      <c r="G8" s="106">
        <v>8</v>
      </c>
      <c r="H8" s="106">
        <v>8</v>
      </c>
      <c r="I8" s="106">
        <v>6</v>
      </c>
      <c r="J8" s="106">
        <v>6</v>
      </c>
      <c r="K8" s="106">
        <v>7</v>
      </c>
      <c r="L8" s="106">
        <v>7</v>
      </c>
      <c r="M8" s="107">
        <v>6</v>
      </c>
      <c r="N8" s="9"/>
    </row>
    <row r="9" spans="1:16" ht="102" customHeight="1" thickBot="1" x14ac:dyDescent="0.3">
      <c r="A9" s="115" t="s">
        <v>45</v>
      </c>
      <c r="B9" s="118">
        <v>4</v>
      </c>
      <c r="C9" s="119">
        <v>3</v>
      </c>
      <c r="D9" s="119"/>
      <c r="E9" s="119"/>
      <c r="F9" s="119">
        <v>1</v>
      </c>
      <c r="G9" s="119"/>
      <c r="H9" s="119"/>
      <c r="I9" s="119"/>
      <c r="J9" s="119"/>
      <c r="K9" s="119"/>
      <c r="L9" s="119"/>
      <c r="M9" s="120">
        <v>2</v>
      </c>
      <c r="N9" s="101">
        <f>ROUND((SUM(B9:M9))/((M9/M8)+(L9/L8)+(K9/K8)+(J9/J8)+(I9/I8)+(H9/H8)+(G9/G8)+(F9/F8)+(E9/E8)+(D9/D8)+(C9/C8)+(B9/B8)),0)</f>
        <v>9</v>
      </c>
    </row>
    <row r="11" spans="1:16" ht="27" thickBot="1" x14ac:dyDescent="0.45">
      <c r="B11" s="144" t="s">
        <v>2</v>
      </c>
      <c r="C11" s="144"/>
      <c r="D11" s="144"/>
      <c r="E11" s="144"/>
      <c r="F11" s="144"/>
      <c r="G11" s="144"/>
    </row>
    <row r="12" spans="1:16" ht="48" thickBot="1" x14ac:dyDescent="0.3">
      <c r="A12" s="109" t="s">
        <v>4</v>
      </c>
      <c r="B12" s="112" t="s">
        <v>28</v>
      </c>
      <c r="C12" s="113" t="s">
        <v>13</v>
      </c>
      <c r="D12" s="113" t="s">
        <v>14</v>
      </c>
      <c r="E12" s="113" t="s">
        <v>34</v>
      </c>
      <c r="F12" s="113" t="s">
        <v>35</v>
      </c>
      <c r="G12" s="113" t="s">
        <v>36</v>
      </c>
      <c r="H12" s="113" t="s">
        <v>37</v>
      </c>
      <c r="I12" s="113" t="s">
        <v>38</v>
      </c>
      <c r="J12" s="113" t="s">
        <v>27</v>
      </c>
      <c r="K12" s="113" t="s">
        <v>24</v>
      </c>
      <c r="L12" s="113" t="s">
        <v>39</v>
      </c>
      <c r="M12" s="113" t="s">
        <v>40</v>
      </c>
      <c r="N12" s="113" t="s">
        <v>41</v>
      </c>
      <c r="O12" s="114" t="s">
        <v>15</v>
      </c>
      <c r="P12" s="8" t="s">
        <v>42</v>
      </c>
    </row>
    <row r="13" spans="1:16" ht="16.5" thickBot="1" x14ac:dyDescent="0.3">
      <c r="A13" s="110" t="s">
        <v>43</v>
      </c>
      <c r="B13" s="108"/>
      <c r="C13" s="103">
        <v>12</v>
      </c>
      <c r="D13" s="103">
        <v>14</v>
      </c>
      <c r="E13" s="103">
        <v>33</v>
      </c>
      <c r="F13" s="103">
        <v>24</v>
      </c>
      <c r="G13" s="103">
        <v>34</v>
      </c>
      <c r="H13" s="103" t="s">
        <v>19</v>
      </c>
      <c r="I13" s="103">
        <v>36</v>
      </c>
      <c r="J13" s="103">
        <v>99</v>
      </c>
      <c r="K13" s="103">
        <v>50</v>
      </c>
      <c r="L13" s="103">
        <v>53</v>
      </c>
      <c r="M13" s="103">
        <v>44</v>
      </c>
      <c r="N13" s="103">
        <v>42</v>
      </c>
      <c r="O13" s="104">
        <v>23</v>
      </c>
      <c r="P13" s="9"/>
    </row>
    <row r="14" spans="1:16" ht="16.5" thickBot="1" x14ac:dyDescent="0.3">
      <c r="A14" s="110" t="s">
        <v>44</v>
      </c>
      <c r="B14" s="105">
        <v>16</v>
      </c>
      <c r="C14" s="106">
        <v>12</v>
      </c>
      <c r="D14" s="106">
        <v>9</v>
      </c>
      <c r="E14" s="106">
        <v>14</v>
      </c>
      <c r="F14" s="106">
        <v>12</v>
      </c>
      <c r="G14" s="106">
        <v>10</v>
      </c>
      <c r="H14" s="106">
        <v>8</v>
      </c>
      <c r="I14" s="106">
        <v>10</v>
      </c>
      <c r="J14" s="106">
        <v>10</v>
      </c>
      <c r="K14" s="106">
        <v>7</v>
      </c>
      <c r="L14" s="106">
        <v>7</v>
      </c>
      <c r="M14" s="106">
        <v>7</v>
      </c>
      <c r="N14" s="106">
        <v>7</v>
      </c>
      <c r="O14" s="107">
        <v>6</v>
      </c>
      <c r="P14" s="9"/>
    </row>
    <row r="15" spans="1:16" ht="102" customHeight="1" thickBot="1" x14ac:dyDescent="0.3">
      <c r="A15" s="111" t="s">
        <v>45</v>
      </c>
      <c r="B15" s="118">
        <v>1</v>
      </c>
      <c r="C15" s="119"/>
      <c r="D15" s="119"/>
      <c r="E15" s="119"/>
      <c r="F15" s="119"/>
      <c r="G15" s="119">
        <v>9</v>
      </c>
      <c r="H15" s="119"/>
      <c r="I15" s="119"/>
      <c r="J15" s="119"/>
      <c r="K15" s="119">
        <v>1</v>
      </c>
      <c r="L15" s="119"/>
      <c r="M15" s="119"/>
      <c r="N15" s="119"/>
      <c r="O15" s="131"/>
      <c r="P15" s="101">
        <f>ROUND((SUM(B15:O15))/((O15/O14)+(N15/N14)+(M15/M14)+(L15/L14)+(K15/K14)+(J15/J14)+(I15/I14)+(H15/H14)+(G15/G14)+(F15/F14)+(E15/E14)+(D15/D14)+(C15/C14)+(B15/B14)),0)</f>
        <v>10</v>
      </c>
    </row>
    <row r="18" spans="1:16" ht="27" thickBot="1" x14ac:dyDescent="0.45">
      <c r="B18" s="144" t="s">
        <v>3</v>
      </c>
      <c r="C18" s="144"/>
      <c r="D18" s="144"/>
      <c r="E18" s="144"/>
      <c r="F18" s="144"/>
      <c r="G18" s="144"/>
    </row>
    <row r="19" spans="1:16" ht="32.25" thickBot="1" x14ac:dyDescent="0.3">
      <c r="A19" s="121" t="s">
        <v>4</v>
      </c>
      <c r="B19" s="122" t="s">
        <v>46</v>
      </c>
      <c r="C19" s="113" t="s">
        <v>28</v>
      </c>
      <c r="D19" s="113" t="s">
        <v>13</v>
      </c>
      <c r="E19" s="113" t="s">
        <v>14</v>
      </c>
      <c r="F19" s="113" t="s">
        <v>34</v>
      </c>
      <c r="G19" s="113" t="s">
        <v>35</v>
      </c>
      <c r="H19" s="113" t="s">
        <v>36</v>
      </c>
      <c r="I19" s="113" t="s">
        <v>38</v>
      </c>
      <c r="J19" s="113" t="s">
        <v>27</v>
      </c>
      <c r="K19" s="113" t="s">
        <v>24</v>
      </c>
      <c r="L19" s="113" t="s">
        <v>39</v>
      </c>
      <c r="M19" s="113" t="s">
        <v>40</v>
      </c>
      <c r="N19" s="113" t="s">
        <v>41</v>
      </c>
      <c r="O19" s="114" t="s">
        <v>15</v>
      </c>
      <c r="P19" s="8" t="s">
        <v>42</v>
      </c>
    </row>
    <row r="20" spans="1:16" ht="16.5" thickBot="1" x14ac:dyDescent="0.3">
      <c r="A20" s="110" t="s">
        <v>43</v>
      </c>
      <c r="B20" s="123"/>
      <c r="C20" s="124"/>
      <c r="D20" s="106">
        <v>12</v>
      </c>
      <c r="E20" s="106">
        <v>14</v>
      </c>
      <c r="F20" s="106">
        <v>33</v>
      </c>
      <c r="G20" s="106">
        <v>24</v>
      </c>
      <c r="H20" s="106">
        <v>34</v>
      </c>
      <c r="I20" s="106">
        <v>36</v>
      </c>
      <c r="J20" s="106">
        <v>99</v>
      </c>
      <c r="K20" s="106">
        <v>50</v>
      </c>
      <c r="L20" s="106">
        <v>53</v>
      </c>
      <c r="M20" s="106">
        <v>44</v>
      </c>
      <c r="N20" s="106">
        <v>42</v>
      </c>
      <c r="O20" s="107">
        <v>23</v>
      </c>
      <c r="P20" s="9"/>
    </row>
    <row r="21" spans="1:16" ht="16.5" thickBot="1" x14ac:dyDescent="0.3">
      <c r="A21" s="110" t="s">
        <v>44</v>
      </c>
      <c r="B21" s="105">
        <v>20</v>
      </c>
      <c r="C21" s="106">
        <v>20</v>
      </c>
      <c r="D21" s="106">
        <v>14</v>
      </c>
      <c r="E21" s="106">
        <v>11</v>
      </c>
      <c r="F21" s="106">
        <v>16</v>
      </c>
      <c r="G21" s="106">
        <v>14</v>
      </c>
      <c r="H21" s="106">
        <v>12</v>
      </c>
      <c r="I21" s="106">
        <v>11</v>
      </c>
      <c r="J21" s="106">
        <v>11</v>
      </c>
      <c r="K21" s="106">
        <v>8</v>
      </c>
      <c r="L21" s="106">
        <v>8</v>
      </c>
      <c r="M21" s="106">
        <v>7</v>
      </c>
      <c r="N21" s="106">
        <v>7</v>
      </c>
      <c r="O21" s="107">
        <v>6</v>
      </c>
      <c r="P21" s="9"/>
    </row>
    <row r="22" spans="1:16" ht="99.95" customHeight="1" thickBot="1" x14ac:dyDescent="0.3">
      <c r="A22" s="111" t="s">
        <v>45</v>
      </c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  <c r="P22" s="101" t="e">
        <f>ROUND((SUM(B22:O22))/((O22/O21)+(N22/N21)+(M22/M21)+(L22/L21)+(K22/K21)+(J22/J21)+(I22/I21)+(H22/H21)+(G22/G21)+(F22/F21)+(E22/E21)+(D22/D21)+(C22/C21)+(B22/B21)),0)</f>
        <v>#DIV/0!</v>
      </c>
    </row>
  </sheetData>
  <sheetProtection algorithmName="SHA-512" hashValue="DccPk6EqQR+Th3ak9BznvnMkmVvSL/hc8qjOeGg3veYAsyhhAG2vegonvSo/BwTnvhZqK3B6PiuhfQRzIaSmxw==" saltValue="kwrif/6XB4K+p/1v9yGjHA==" spinCount="100000" sheet="1" selectLockedCells="1"/>
  <mergeCells count="4">
    <mergeCell ref="B18:G18"/>
    <mergeCell ref="B5:G5"/>
    <mergeCell ref="B11:G11"/>
    <mergeCell ref="A2:I2"/>
  </mergeCell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tabSelected="1" zoomScale="70" zoomScaleNormal="70" workbookViewId="0">
      <selection activeCell="G15" sqref="G15"/>
    </sheetView>
  </sheetViews>
  <sheetFormatPr baseColWidth="10" defaultColWidth="11.5546875" defaultRowHeight="15" x14ac:dyDescent="0.2"/>
  <cols>
    <col min="1" max="1" width="26.21875" customWidth="1"/>
    <col min="2" max="2" width="19.88671875" customWidth="1"/>
    <col min="5" max="5" width="20.33203125" customWidth="1"/>
    <col min="6" max="6" width="25.77734375" customWidth="1"/>
    <col min="7" max="7" width="14.109375" customWidth="1"/>
  </cols>
  <sheetData>
    <row r="1" spans="1:7" ht="23.25" x14ac:dyDescent="0.35">
      <c r="A1" s="34" t="s">
        <v>47</v>
      </c>
    </row>
    <row r="2" spans="1:7" ht="18" x14ac:dyDescent="0.25">
      <c r="A2" s="125" t="s">
        <v>48</v>
      </c>
    </row>
    <row r="3" spans="1:7" ht="18" x14ac:dyDescent="0.25">
      <c r="A3" s="125"/>
    </row>
    <row r="4" spans="1:7" ht="26.1" customHeight="1" x14ac:dyDescent="0.25">
      <c r="A4" s="125" t="s">
        <v>49</v>
      </c>
      <c r="B4" s="136" t="s">
        <v>111</v>
      </c>
    </row>
    <row r="6" spans="1:7" ht="18" x14ac:dyDescent="0.25">
      <c r="A6" s="125" t="s">
        <v>51</v>
      </c>
      <c r="F6" s="125" t="s">
        <v>52</v>
      </c>
    </row>
    <row r="7" spans="1:7" ht="15.75" thickBot="1" x14ac:dyDescent="0.25"/>
    <row r="8" spans="1:7" ht="15.75" thickBot="1" x14ac:dyDescent="0.25">
      <c r="A8" s="13" t="s">
        <v>53</v>
      </c>
      <c r="B8" s="14">
        <v>0</v>
      </c>
      <c r="F8" s="13" t="s">
        <v>53</v>
      </c>
      <c r="G8" s="14">
        <v>0</v>
      </c>
    </row>
    <row r="9" spans="1:7" ht="15.75" thickBot="1" x14ac:dyDescent="0.25">
      <c r="B9" s="15"/>
      <c r="G9" s="15"/>
    </row>
    <row r="10" spans="1:7" ht="30" x14ac:dyDescent="0.2">
      <c r="A10" s="11" t="s">
        <v>54</v>
      </c>
      <c r="B10" s="16">
        <v>0</v>
      </c>
      <c r="F10" s="11" t="s">
        <v>54</v>
      </c>
      <c r="G10" s="16">
        <v>0</v>
      </c>
    </row>
    <row r="11" spans="1:7" ht="15.75" thickBot="1" x14ac:dyDescent="0.25">
      <c r="A11" s="129" t="s">
        <v>55</v>
      </c>
      <c r="B11" s="127">
        <f>IF(B10=1,1,IF(B10=2,2.25,IF(B10&gt;2,(B10-2)*1.5+2.25,0)))</f>
        <v>0</v>
      </c>
      <c r="F11" s="129" t="s">
        <v>55</v>
      </c>
      <c r="G11" s="127">
        <f>IF(G10=1,1,IF(G10=2,2.25,IF(G10&gt;2,(G10-2)*1.5+2.25,0)))</f>
        <v>0</v>
      </c>
    </row>
    <row r="12" spans="1:7" ht="15.75" thickBot="1" x14ac:dyDescent="0.25"/>
    <row r="13" spans="1:7" ht="60" x14ac:dyDescent="0.2">
      <c r="A13" s="11" t="s">
        <v>56</v>
      </c>
      <c r="B13" s="16">
        <v>0</v>
      </c>
      <c r="F13" s="11" t="s">
        <v>56</v>
      </c>
      <c r="G13" s="16">
        <v>0</v>
      </c>
    </row>
    <row r="14" spans="1:7" ht="75" x14ac:dyDescent="0.2">
      <c r="A14" s="128" t="s">
        <v>57</v>
      </c>
      <c r="B14" s="17">
        <v>0</v>
      </c>
      <c r="F14" s="128" t="s">
        <v>57</v>
      </c>
      <c r="G14" s="17">
        <v>0</v>
      </c>
    </row>
    <row r="15" spans="1:7" ht="30" x14ac:dyDescent="0.2">
      <c r="A15" s="128" t="s">
        <v>58</v>
      </c>
      <c r="B15" s="17">
        <v>0</v>
      </c>
      <c r="F15" s="128" t="s">
        <v>58</v>
      </c>
      <c r="G15" s="17">
        <v>0</v>
      </c>
    </row>
    <row r="16" spans="1:7" ht="15.75" thickBot="1" x14ac:dyDescent="0.25">
      <c r="A16" s="43" t="s">
        <v>59</v>
      </c>
      <c r="B16" s="12" t="e">
        <f>B13*B14/B15</f>
        <v>#DIV/0!</v>
      </c>
      <c r="F16" s="43" t="s">
        <v>59</v>
      </c>
      <c r="G16" s="12" t="e">
        <f>G13*G14/G15</f>
        <v>#DIV/0!</v>
      </c>
    </row>
    <row r="18" spans="1:7" s="1" customFormat="1" ht="15.6" customHeight="1" x14ac:dyDescent="0.2">
      <c r="A18"/>
      <c r="B18"/>
      <c r="C18"/>
      <c r="D18"/>
      <c r="E18"/>
      <c r="F18"/>
      <c r="G18"/>
    </row>
    <row r="19" spans="1:7" ht="15.75" x14ac:dyDescent="0.25">
      <c r="A19" s="4" t="s">
        <v>60</v>
      </c>
      <c r="F19" s="4" t="s">
        <v>60</v>
      </c>
    </row>
    <row r="20" spans="1:7" ht="69" customHeight="1" x14ac:dyDescent="0.2">
      <c r="A20" s="1" t="s">
        <v>61</v>
      </c>
      <c r="B20" s="134" t="e">
        <f>27*B16*B11*(VLOOKUP(B4,'formules annexe 18'!A2:F8,2,FALSE))/B8</f>
        <v>#DIV/0!</v>
      </c>
      <c r="F20" s="1" t="s">
        <v>62</v>
      </c>
      <c r="G20" s="134" t="e">
        <f>27*G16*G11*(VLOOKUP(B4,'formules annexe 18'!A2:F8,3,FALSE))/G8</f>
        <v>#DIV/0!</v>
      </c>
    </row>
    <row r="21" spans="1:7" ht="15.75" x14ac:dyDescent="0.25">
      <c r="D21" s="4" t="s">
        <v>63</v>
      </c>
      <c r="E21" s="135" t="e">
        <f>B20+G20</f>
        <v>#DIV/0!</v>
      </c>
    </row>
    <row r="22" spans="1:7" ht="25.5" customHeight="1" x14ac:dyDescent="0.25">
      <c r="A22" s="125" t="s">
        <v>64</v>
      </c>
    </row>
    <row r="23" spans="1:7" ht="23.25" x14ac:dyDescent="0.35">
      <c r="A23" s="125" t="s">
        <v>65</v>
      </c>
      <c r="B23" s="33" t="e">
        <f>IF(OR(B10&gt;2,G10&gt;2),IF((MAX(B10,G10)-2)*(VLOOKUP(B4,'formules annexe 18'!A2:F8,6,FALSE))+(VLOOKUP(B4,'formules annexe 18'!A2:F8,4,FALSE))+(VLOOKUP(B4,'formules annexe 18'!A2:F8,5,FALSE))&lt;B20+G20,(MAX(B10,G10)-2)*(VLOOKUP(B4,'formules annexe 18'!A2:F8,6,FALSE))+(VLOOKUP(B4,'formules annexe 18'!A2:F8,4,FALSE))+(VLOOKUP(B4,'formules annexe 18'!A2:F8,5,FALSE)),B20+G20),IF(OR(B10=2,G10=2),IF(VLOOKUP(B4,'formules annexe 18'!A2:F8,5,FALSE)+VLOOKUP(B4,'formules annexe 18'!A2:F8,4,FALSE)&lt;B20+G20,VLOOKUP(B4,'formules annexe 18'!A2:F8,5,FALSE)+VLOOKUP(B4,'formules annexe 18'!A2:F8,4,FALSE),B20+G20),IF(OR(B10=1,G10=1),IF(VLOOKUP(B4,'formules annexe 18'!A2:F8,4,FALSE)&lt;B20+G20,VLOOKUP(B4,'formules annexe 18'!A2:F8,4,FALSE),B20+G20),B20+G20)))</f>
        <v>#DIV/0!</v>
      </c>
    </row>
  </sheetData>
  <sheetProtection algorithmName="SHA-512" hashValue="FmkJBiXFwytdu09Ozq/5/IQ7P+Ffn80C60LSOZPFOYowL40PajwYpmA3IatCBY6SXYU+Xtk05gq81nFQyIRA0w==" saltValue="YAmor6TjnT8DJ4e1VAV7xw==" spinCount="100000" sheet="1"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CD4F1F-EE46-43D0-AAB8-6CDD0D4C5D8C}">
          <x14:formula1>
            <xm:f>'formules annexe 18'!$A$3:$A$8</xm:f>
          </x14:formula1>
          <xm:sqref>G6:G7 B5:B7</xm:sqref>
        </x14:dataValidation>
        <x14:dataValidation type="list" allowBlank="1" showInputMessage="1" showErrorMessage="1" xr:uid="{A3CB5577-5137-4DE1-B257-B9F809F5C410}">
          <x14:formula1>
            <xm:f>'formules annexe 18'!$A$2:$A$8</xm:f>
          </x14:formula1>
          <xm:sqref>B4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zoomScale="70" zoomScaleNormal="70" workbookViewId="0">
      <selection activeCell="G17" sqref="G17"/>
    </sheetView>
  </sheetViews>
  <sheetFormatPr baseColWidth="10" defaultColWidth="11.5546875" defaultRowHeight="15" x14ac:dyDescent="0.2"/>
  <cols>
    <col min="1" max="1" width="26.77734375" customWidth="1"/>
    <col min="2" max="2" width="20.33203125" customWidth="1"/>
    <col min="5" max="5" width="20.44140625" customWidth="1"/>
    <col min="6" max="6" width="25.6640625" customWidth="1"/>
    <col min="7" max="7" width="15.21875" customWidth="1"/>
  </cols>
  <sheetData>
    <row r="1" spans="1:7" ht="23.25" x14ac:dyDescent="0.35">
      <c r="A1" s="34" t="s">
        <v>66</v>
      </c>
    </row>
    <row r="2" spans="1:7" ht="18" x14ac:dyDescent="0.25">
      <c r="A2" s="125" t="s">
        <v>48</v>
      </c>
    </row>
    <row r="3" spans="1:7" ht="18" x14ac:dyDescent="0.25">
      <c r="A3" s="125"/>
    </row>
    <row r="4" spans="1:7" ht="27.6" customHeight="1" x14ac:dyDescent="0.25">
      <c r="A4" s="125" t="s">
        <v>49</v>
      </c>
      <c r="B4" s="136" t="s">
        <v>50</v>
      </c>
    </row>
    <row r="5" spans="1:7" ht="15.75" x14ac:dyDescent="0.25">
      <c r="A5" s="4"/>
    </row>
    <row r="6" spans="1:7" ht="18" x14ac:dyDescent="0.25">
      <c r="A6" s="125" t="s">
        <v>51</v>
      </c>
      <c r="F6" s="125" t="s">
        <v>52</v>
      </c>
    </row>
    <row r="7" spans="1:7" ht="15.75" thickBot="1" x14ac:dyDescent="0.25"/>
    <row r="8" spans="1:7" ht="15.75" thickBot="1" x14ac:dyDescent="0.25">
      <c r="A8" s="13" t="s">
        <v>53</v>
      </c>
      <c r="B8" s="14">
        <v>0</v>
      </c>
      <c r="F8" s="13" t="s">
        <v>53</v>
      </c>
      <c r="G8" s="14">
        <v>0</v>
      </c>
    </row>
    <row r="9" spans="1:7" ht="15.75" thickBot="1" x14ac:dyDescent="0.25">
      <c r="B9" s="15"/>
      <c r="G9" s="15"/>
    </row>
    <row r="10" spans="1:7" ht="30" x14ac:dyDescent="0.2">
      <c r="A10" s="11" t="s">
        <v>54</v>
      </c>
      <c r="B10" s="16">
        <v>0</v>
      </c>
      <c r="F10" s="11" t="s">
        <v>54</v>
      </c>
      <c r="G10" s="16">
        <v>0</v>
      </c>
    </row>
    <row r="11" spans="1:7" ht="15.75" thickBot="1" x14ac:dyDescent="0.25">
      <c r="A11" s="43" t="s">
        <v>55</v>
      </c>
      <c r="B11" s="127">
        <f>IF(B10=1,1,IF(B10=2,2.25,IF(B10&gt;2,(B10-2)*1.5+2.25,0)))</f>
        <v>0</v>
      </c>
      <c r="F11" s="43" t="s">
        <v>55</v>
      </c>
      <c r="G11" s="127">
        <f>IF(G10=1,1,IF(G10=2,2.25,IF(G10&gt;2,(G10-2)*1.5+2.25,0)))</f>
        <v>0</v>
      </c>
    </row>
    <row r="12" spans="1:7" ht="15.75" thickBot="1" x14ac:dyDescent="0.25"/>
    <row r="13" spans="1:7" ht="45" x14ac:dyDescent="0.2">
      <c r="A13" s="11" t="s">
        <v>67</v>
      </c>
      <c r="B13" s="16">
        <v>6</v>
      </c>
      <c r="F13" s="11" t="s">
        <v>67</v>
      </c>
      <c r="G13" s="16">
        <v>0</v>
      </c>
    </row>
    <row r="14" spans="1:7" ht="30" x14ac:dyDescent="0.2">
      <c r="A14" s="128" t="s">
        <v>68</v>
      </c>
      <c r="B14" s="17">
        <v>0</v>
      </c>
      <c r="F14" s="128" t="s">
        <v>68</v>
      </c>
      <c r="G14" s="17">
        <v>0</v>
      </c>
    </row>
    <row r="15" spans="1:7" ht="30" x14ac:dyDescent="0.2">
      <c r="A15" s="128" t="s">
        <v>69</v>
      </c>
      <c r="B15" s="126">
        <f>B13*B14/50</f>
        <v>0</v>
      </c>
      <c r="F15" s="128" t="s">
        <v>69</v>
      </c>
      <c r="G15" s="126">
        <f>G13*G14/50</f>
        <v>0</v>
      </c>
    </row>
    <row r="16" spans="1:7" ht="75" x14ac:dyDescent="0.2">
      <c r="A16" s="128" t="s">
        <v>57</v>
      </c>
      <c r="B16" s="17">
        <v>0</v>
      </c>
      <c r="F16" s="128" t="s">
        <v>57</v>
      </c>
      <c r="G16" s="17">
        <v>0</v>
      </c>
    </row>
    <row r="17" spans="1:7" ht="30" x14ac:dyDescent="0.2">
      <c r="A17" s="128" t="s">
        <v>58</v>
      </c>
      <c r="B17" s="17">
        <v>0</v>
      </c>
      <c r="F17" s="128" t="s">
        <v>58</v>
      </c>
      <c r="G17" s="17">
        <v>0</v>
      </c>
    </row>
    <row r="18" spans="1:7" ht="15.75" thickBot="1" x14ac:dyDescent="0.25">
      <c r="A18" s="43" t="s">
        <v>59</v>
      </c>
      <c r="B18" s="127" t="e">
        <f>B15*B16/B17</f>
        <v>#DIV/0!</v>
      </c>
      <c r="F18" s="43" t="s">
        <v>59</v>
      </c>
      <c r="G18" s="127" t="e">
        <f>G15*G16/G17</f>
        <v>#DIV/0!</v>
      </c>
    </row>
    <row r="20" spans="1:7" s="1" customFormat="1" ht="15.6" customHeight="1" x14ac:dyDescent="0.2">
      <c r="A20"/>
      <c r="B20"/>
      <c r="C20"/>
      <c r="D20"/>
      <c r="E20"/>
      <c r="F20"/>
      <c r="G20"/>
    </row>
    <row r="21" spans="1:7" ht="25.5" customHeight="1" x14ac:dyDescent="0.25">
      <c r="A21" s="4" t="s">
        <v>60</v>
      </c>
      <c r="F21" s="4" t="s">
        <v>60</v>
      </c>
    </row>
    <row r="22" spans="1:7" ht="48.6" customHeight="1" x14ac:dyDescent="0.2">
      <c r="A22" s="1" t="s">
        <v>61</v>
      </c>
      <c r="B22" s="134" t="e">
        <f>27*B18*B11*(VLOOKUP($B$4,'formules annexe 18'!$A$2:$F$8,2,FALSE))/B8</f>
        <v>#DIV/0!</v>
      </c>
      <c r="F22" s="1" t="s">
        <v>62</v>
      </c>
      <c r="G22" s="134" t="e">
        <f>27*G18*G11*(VLOOKUP($B$4,'formules annexe 18'!$A$2:$F$8,3,FALSE))/G8</f>
        <v>#DIV/0!</v>
      </c>
    </row>
    <row r="23" spans="1:7" ht="15.75" x14ac:dyDescent="0.25">
      <c r="D23" s="4" t="s">
        <v>70</v>
      </c>
      <c r="E23" s="135" t="e">
        <f>B22+G22</f>
        <v>#DIV/0!</v>
      </c>
    </row>
    <row r="24" spans="1:7" ht="18" x14ac:dyDescent="0.25">
      <c r="A24" s="125" t="s">
        <v>64</v>
      </c>
    </row>
    <row r="25" spans="1:7" ht="23.25" x14ac:dyDescent="0.35">
      <c r="A25" s="125" t="s">
        <v>65</v>
      </c>
      <c r="B25" s="33" t="e">
        <f>IF(OR(B10&gt;2,G10&gt;2),IF((MAX(B10,G10)-2)*(VLOOKUP(B4,'formules annexe 18'!A2:F8,6,FALSE))+(VLOOKUP(B4,'formules annexe 18'!A2:F8,4,FALSE))+(VLOOKUP(B4,'formules annexe 18'!A2:F8,5,FALSE))&lt;B22+G22,(MAX(B10,G10)-2)*(VLOOKUP(B4,'formules annexe 18'!A2:F8,6,FALSE))+(VLOOKUP(B4,'formules annexe 18'!A2:F8,4,FALSE))+(VLOOKUP(B4,'formules annexe 18'!A2:F8,5,FALSE)),B22+G22),IF(OR(B10=2,G10=2),IF(VLOOKUP(B4,'formules annexe 18'!A2:F8,5,FALSE)+VLOOKUP(B4,'formules annexe 18'!A2:F8,4,FALSE)&lt;B22+G22,VLOOKUP(B4,'formules annexe 18'!A2:F8,5,FALSE)+VLOOKUP(B4,'formules annexe 18'!A2:F8,4,FALSE),B22+G22),IF(OR(B10=1,G10=1),IF(VLOOKUP(B4,'formules annexe 18'!A2:F8,4,FALSE)&lt;B22+G22,VLOOKUP(B4,'formules annexe 18'!A2:F8,4,FALSE),B22+G22),B22+G22)))</f>
        <v>#DIV/0!</v>
      </c>
    </row>
  </sheetData>
  <sheetProtection algorithmName="SHA-512" hashValue="HUBpLe36E+1tNhkffZzljXgyKy06SjbYlKD+AWfxAu1WaPj1La4s2jmVpVLejYuVRl7vxzPQ6ZjeEqMamnQX+A==" saltValue="9cfB1cSZVPNaCAUxUfZGsw==" spinCount="100000" sheet="1" selectLockedCell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9B37DC-61CF-425B-BE93-6F8E4577BBC8}">
          <x14:formula1>
            <xm:f>'formules annexe 18'!$A$3:$A$8</xm:f>
          </x14:formula1>
          <xm:sqref>B5:B6</xm:sqref>
        </x14:dataValidation>
        <x14:dataValidation type="list" allowBlank="1" showInputMessage="1" showErrorMessage="1" xr:uid="{E844C3F5-D72E-466E-9773-13C1FF27AB92}">
          <x14:formula1>
            <xm:f>'formules annexe 18'!$A$2:$A$8</xm:f>
          </x14:formula1>
          <xm:sqref>B4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BC63-E7B7-490A-B0A3-0306AEB47B6F}">
  <dimension ref="A1:M23"/>
  <sheetViews>
    <sheetView topLeftCell="A2" zoomScale="115" zoomScaleNormal="115" workbookViewId="0">
      <selection activeCell="F19" sqref="F19"/>
    </sheetView>
  </sheetViews>
  <sheetFormatPr baseColWidth="10" defaultColWidth="11.5546875" defaultRowHeight="15" x14ac:dyDescent="0.2"/>
  <cols>
    <col min="1" max="1" width="30.77734375" customWidth="1"/>
    <col min="3" max="3" width="14.109375" customWidth="1"/>
    <col min="6" max="6" width="30.5546875" customWidth="1"/>
    <col min="7" max="7" width="20.88671875" customWidth="1"/>
  </cols>
  <sheetData>
    <row r="1" spans="1:13" ht="36.950000000000003" customHeight="1" x14ac:dyDescent="0.25">
      <c r="A1" s="149" t="s">
        <v>71</v>
      </c>
      <c r="B1" s="149"/>
      <c r="C1" s="149"/>
      <c r="D1" s="149"/>
    </row>
    <row r="2" spans="1:13" ht="15.75" thickBot="1" x14ac:dyDescent="0.25"/>
    <row r="3" spans="1:13" ht="16.5" thickBot="1" x14ac:dyDescent="0.3">
      <c r="A3" s="55" t="s">
        <v>72</v>
      </c>
      <c r="B3" s="146" t="s">
        <v>73</v>
      </c>
      <c r="C3" s="147"/>
      <c r="D3" s="148"/>
    </row>
    <row r="4" spans="1:13" ht="15.75" thickBot="1" x14ac:dyDescent="0.25"/>
    <row r="5" spans="1:13" ht="16.5" thickBot="1" x14ac:dyDescent="0.3">
      <c r="B5" s="55" t="s">
        <v>43</v>
      </c>
      <c r="C5" s="55" t="s">
        <v>74</v>
      </c>
      <c r="D5" s="52" t="s">
        <v>75</v>
      </c>
      <c r="G5" s="58"/>
      <c r="J5" s="4"/>
    </row>
    <row r="6" spans="1:13" ht="15.75" x14ac:dyDescent="0.25">
      <c r="A6" s="60" t="s">
        <v>76</v>
      </c>
      <c r="B6" s="61"/>
      <c r="C6" s="62">
        <v>0</v>
      </c>
      <c r="D6" s="63">
        <f>C6</f>
        <v>0</v>
      </c>
      <c r="G6" s="58"/>
    </row>
    <row r="7" spans="1:13" x14ac:dyDescent="0.2">
      <c r="A7" s="7" t="s">
        <v>13</v>
      </c>
      <c r="B7" s="5">
        <v>12</v>
      </c>
      <c r="C7" s="18">
        <v>0</v>
      </c>
      <c r="D7" s="6">
        <f>ROUND(IF($B$3='données multiage'!$A$7,C7*'pondération non défavorisé'!C5,IF($B$3='données multiage'!$A$9,C7*'pondération non défavorisé'!D5,IF($B$3='données multiage'!$A$8,C7*'pondération défavorisé'!C5,IF($B$3='données multiage'!$A$10,C7*'pondération défavorisé'!D5,0)))),0)</f>
        <v>0</v>
      </c>
    </row>
    <row r="8" spans="1:13" s="1" customFormat="1" x14ac:dyDescent="0.2">
      <c r="A8" s="7" t="s">
        <v>77</v>
      </c>
      <c r="B8" s="5">
        <v>23</v>
      </c>
      <c r="C8" s="18">
        <v>0</v>
      </c>
      <c r="D8" s="6">
        <f>ROUND(IF($B$3='données multiage'!$A$7,C8*'pondération non défavorisé'!C7,IF($B$3='données multiage'!$A$9,C8*'pondération non défavorisé'!D7,IF($B$3='données multiage'!$A$8,C8*'pondération défavorisé'!C7,IF($B$3='données multiage'!$A$10,C8*'pondération défavorisé'!D7,0)))),0)</f>
        <v>0</v>
      </c>
      <c r="E8"/>
      <c r="F8"/>
      <c r="G8" s="57"/>
      <c r="H8" s="15"/>
      <c r="I8"/>
      <c r="J8"/>
      <c r="K8"/>
      <c r="L8"/>
      <c r="M8"/>
    </row>
    <row r="9" spans="1:13" s="1" customFormat="1" x14ac:dyDescent="0.2">
      <c r="A9" s="64" t="s">
        <v>78</v>
      </c>
      <c r="B9" s="3">
        <v>24</v>
      </c>
      <c r="C9" s="32">
        <v>0</v>
      </c>
      <c r="D9" s="6">
        <f>ROUND(IF($B$3='données multiage'!$A$7,C9*'pondération non défavorisé'!C8,IF($B$3='données multiage'!$A$9,C9*'pondération non défavorisé'!D8,IF($B$3='données multiage'!$A$8,C9*'pondération défavorisé'!C8,IF($B$3='données multiage'!$A$10,C9*'pondération défavorisé'!D8,0)))),0)</f>
        <v>0</v>
      </c>
      <c r="E9"/>
      <c r="F9"/>
      <c r="G9" s="57"/>
      <c r="H9" s="15"/>
      <c r="I9"/>
      <c r="J9"/>
      <c r="K9"/>
      <c r="L9"/>
      <c r="M9"/>
    </row>
    <row r="10" spans="1:13" s="1" customFormat="1" x14ac:dyDescent="0.2">
      <c r="A10" s="64" t="s">
        <v>79</v>
      </c>
      <c r="B10" s="3">
        <v>33</v>
      </c>
      <c r="C10" s="32">
        <v>0</v>
      </c>
      <c r="D10" s="6">
        <f>ROUND(IF($B$3='données multiage'!$A$7,C10*'pondération non défavorisé'!C9,IF($B$3='données multiage'!$A$9,C10*'pondération non défavorisé'!D9,IF($B$3='données multiage'!$A$8,C10*'pondération défavorisé'!C9,IF($B$3='données multiage'!$A$10,C10*'pondération défavorisé'!D9,0)))),0)</f>
        <v>0</v>
      </c>
      <c r="F10"/>
      <c r="G10" s="57"/>
      <c r="H10" s="59"/>
    </row>
    <row r="11" spans="1:13" s="1" customFormat="1" x14ac:dyDescent="0.2">
      <c r="A11" s="64" t="s">
        <v>80</v>
      </c>
      <c r="B11" s="3">
        <v>34</v>
      </c>
      <c r="C11" s="32">
        <v>0</v>
      </c>
      <c r="D11" s="6">
        <f>ROUND(IF($B$3='données multiage'!$A$7,C11*'pondération non défavorisé'!C10,IF($B$3='données multiage'!$A$9,C11*'pondération non défavorisé'!D10,IF($B$3='données multiage'!$A$8,C11*'pondération défavorisé'!C10,IF($B$3='données multiage'!$A$10,C11*'pondération défavorisé'!D10,0)))),0)</f>
        <v>0</v>
      </c>
      <c r="G11" s="50"/>
    </row>
    <row r="12" spans="1:13" s="1" customFormat="1" x14ac:dyDescent="0.2">
      <c r="A12" s="64" t="s">
        <v>81</v>
      </c>
      <c r="B12" s="3">
        <v>34</v>
      </c>
      <c r="C12" s="32">
        <v>0</v>
      </c>
      <c r="D12" s="6">
        <f>ROUND(IF($B$3='données multiage'!$A$7,C12*'pondération non défavorisé'!C11,IF($B$3='données multiage'!$A$9,C12*'pondération non défavorisé'!D11,IF($B$3='données multiage'!$A$8,C12*'pondération défavorisé'!C11,IF($B$3='données multiage'!$A$10,C12*'pondération défavorisé'!D11,0)))),0)</f>
        <v>0</v>
      </c>
      <c r="G12" s="50"/>
    </row>
    <row r="13" spans="1:13" s="1" customFormat="1" x14ac:dyDescent="0.2">
      <c r="A13" s="64" t="s">
        <v>82</v>
      </c>
      <c r="B13" s="3">
        <v>36</v>
      </c>
      <c r="C13" s="32">
        <v>0</v>
      </c>
      <c r="D13" s="6">
        <f>ROUND(IF($B$3='données multiage'!$A$7,C13*'pondération non défavorisé'!C12,IF($B$3='données multiage'!$A$9,C13*'pondération non défavorisé'!D12,IF($B$3='données multiage'!$A$8,C13*'pondération défavorisé'!C12,IF($B$3='données multiage'!$A$10,C13*'pondération défavorisé'!D12,0)))),0)</f>
        <v>0</v>
      </c>
      <c r="G13" s="50"/>
    </row>
    <row r="14" spans="1:13" s="1" customFormat="1" x14ac:dyDescent="0.2">
      <c r="A14" s="64" t="s">
        <v>83</v>
      </c>
      <c r="B14" s="3">
        <v>42</v>
      </c>
      <c r="C14" s="32">
        <v>0</v>
      </c>
      <c r="D14" s="6">
        <f>ROUND(IF($B$3='données multiage'!$A$7,C14*'pondération non défavorisé'!C13,IF($B$3='données multiage'!$A$9,C14*'pondération non défavorisé'!D13,IF($B$3='données multiage'!$A$8,C14*'pondération défavorisé'!C13,IF($B$3='données multiage'!$A$10,C14*'pondération défavorisé'!D13,0)))),0)</f>
        <v>0</v>
      </c>
    </row>
    <row r="15" spans="1:13" s="1" customFormat="1" x14ac:dyDescent="0.2">
      <c r="A15" s="64" t="s">
        <v>84</v>
      </c>
      <c r="B15" s="3">
        <v>44</v>
      </c>
      <c r="C15" s="32">
        <v>0</v>
      </c>
      <c r="D15" s="6">
        <f>ROUND(IF($B$3='données multiage'!$A$7,C15*'pondération non défavorisé'!C14,IF($B$3='données multiage'!$A$9,C15*'pondération non défavorisé'!D14,IF($B$3='données multiage'!$A$8,C15*'pondération défavorisé'!C14,IF($B$3='données multiage'!$A$10,C15*'pondération défavorisé'!D14,0)))),0)</f>
        <v>0</v>
      </c>
    </row>
    <row r="16" spans="1:13" s="1" customFormat="1" x14ac:dyDescent="0.2">
      <c r="A16" s="64" t="s">
        <v>85</v>
      </c>
      <c r="B16" s="3">
        <v>50</v>
      </c>
      <c r="C16" s="32">
        <v>0</v>
      </c>
      <c r="D16" s="6">
        <f>ROUND(IF($B$3='données multiage'!$A$7,C16*'pondération non défavorisé'!C15,IF($B$3='données multiage'!$A$9,C16*'pondération non défavorisé'!D15,IF($B$3='données multiage'!$A$8,C16*'pondération défavorisé'!C15,IF($B$3='données multiage'!$A$10,C16*'pondération défavorisé'!D15,0)))),0)</f>
        <v>0</v>
      </c>
    </row>
    <row r="17" spans="1:13" s="1" customFormat="1" ht="30" x14ac:dyDescent="0.2">
      <c r="A17" s="64" t="s">
        <v>86</v>
      </c>
      <c r="B17" s="3">
        <v>53</v>
      </c>
      <c r="C17" s="32">
        <v>0</v>
      </c>
      <c r="D17" s="6">
        <f>ROUND(IF($B$3='données multiage'!$A$7,C17*'pondération non défavorisé'!C16,IF($B$3='données multiage'!$A$9,C17*'pondération non défavorisé'!D16,IF($B$3='données multiage'!$A$8,C17*'pondération défavorisé'!C16,IF($B$3='données multiage'!$A$10,C17*'pondération défavorisé'!D16,0)))),0)</f>
        <v>0</v>
      </c>
    </row>
    <row r="18" spans="1:13" s="1" customFormat="1" ht="15.75" thickBot="1" x14ac:dyDescent="0.25">
      <c r="A18" s="65" t="s">
        <v>87</v>
      </c>
      <c r="B18" s="66">
        <v>99</v>
      </c>
      <c r="C18" s="67">
        <v>0</v>
      </c>
      <c r="D18" s="44">
        <f>ROUND(IF($B$3='données multiage'!$A$7,C18*'pondération non défavorisé'!C18,IF($B$3='données multiage'!$A$9,C18*'pondération non défavorisé'!D18,IF($B$3='données multiage'!$A$8,C18*'pondération défavorisé'!C18,IF($B$3='données multiage'!$A$10,C18*'pondération défavorisé'!D18,0)))),0)</f>
        <v>0</v>
      </c>
    </row>
    <row r="19" spans="1:13" ht="16.5" thickBot="1" x14ac:dyDescent="0.3">
      <c r="A19" s="1"/>
      <c r="B19" s="1"/>
      <c r="C19" s="71" t="s">
        <v>88</v>
      </c>
      <c r="D19" s="72">
        <f>SUM(D6:D18)</f>
        <v>0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6.5" thickBot="1" x14ac:dyDescent="0.3">
      <c r="C20" s="55" t="s">
        <v>89</v>
      </c>
      <c r="D20" s="55">
        <f>IF($B$3='données multiage'!A7,D19-17,IF($B$3='données multiage'!A9,D19-19,IF($B$3='données multiage'!A8,D19-16,IF($B$3='données multiage'!A10,D19-18,0))))</f>
        <v>-16</v>
      </c>
      <c r="E20" s="1"/>
      <c r="F20" s="1"/>
      <c r="G20" s="1"/>
      <c r="H20" s="1"/>
      <c r="I20" s="1"/>
      <c r="J20" s="1"/>
      <c r="K20" s="1"/>
      <c r="L20" s="1"/>
      <c r="M20" s="1"/>
    </row>
    <row r="23" spans="1:13" ht="48.95" customHeight="1" x14ac:dyDescent="0.2">
      <c r="A23" s="150" t="s">
        <v>90</v>
      </c>
      <c r="B23" s="150"/>
      <c r="C23" s="150"/>
      <c r="D23" s="150"/>
      <c r="E23" s="150"/>
    </row>
  </sheetData>
  <sheetProtection algorithmName="SHA-512" hashValue="Fd181aagzIJHAkXfM64NdwOo8EX9YjjMjqVfcmrl3rncFRqBGQmOZXioech36Qlyvoh4TsiPWg8ec/fdG/M0WQ==" saltValue="kYRRm0LpkG/9MDGGI2cUQQ==" spinCount="100000" sheet="1" objects="1" scenarios="1"/>
  <mergeCells count="3">
    <mergeCell ref="B3:D3"/>
    <mergeCell ref="A1:D1"/>
    <mergeCell ref="A23:E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5065C1-65D3-411E-A8F0-E76819A646B9}">
          <x14:formula1>
            <xm:f>'données multiage'!$A$7:$A$10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4526-6641-4FA7-918C-050638481FA6}">
  <dimension ref="A1:G23"/>
  <sheetViews>
    <sheetView zoomScale="130" zoomScaleNormal="130" workbookViewId="0">
      <selection activeCell="I18" sqref="I18"/>
    </sheetView>
  </sheetViews>
  <sheetFormatPr baseColWidth="10" defaultColWidth="11.5546875" defaultRowHeight="15" x14ac:dyDescent="0.2"/>
  <cols>
    <col min="1" max="1" width="12.77734375" customWidth="1"/>
    <col min="2" max="2" width="21.6640625" customWidth="1"/>
    <col min="4" max="4" width="21.33203125" customWidth="1"/>
    <col min="5" max="5" width="16.6640625" customWidth="1"/>
  </cols>
  <sheetData>
    <row r="1" spans="1:7" ht="39" customHeight="1" x14ac:dyDescent="0.25">
      <c r="A1" s="151" t="s">
        <v>91</v>
      </c>
      <c r="B1" s="151"/>
      <c r="C1" s="151"/>
      <c r="D1" s="151"/>
      <c r="E1" s="151"/>
      <c r="F1" s="151"/>
      <c r="G1" s="151"/>
    </row>
    <row r="2" spans="1:7" ht="15.75" thickBot="1" x14ac:dyDescent="0.25"/>
    <row r="3" spans="1:7" ht="16.5" thickBot="1" x14ac:dyDescent="0.3">
      <c r="A3" s="54" t="s">
        <v>92</v>
      </c>
      <c r="B3" s="77" t="s">
        <v>93</v>
      </c>
    </row>
    <row r="4" spans="1:7" ht="15.75" thickBot="1" x14ac:dyDescent="0.25"/>
    <row r="5" spans="1:7" ht="16.5" thickBot="1" x14ac:dyDescent="0.3">
      <c r="A5" s="55" t="s">
        <v>43</v>
      </c>
      <c r="B5" s="55" t="s">
        <v>94</v>
      </c>
      <c r="C5" s="55" t="s">
        <v>95</v>
      </c>
      <c r="D5" s="55" t="s">
        <v>96</v>
      </c>
      <c r="E5" s="55" t="s">
        <v>97</v>
      </c>
      <c r="F5" s="52" t="s">
        <v>75</v>
      </c>
    </row>
    <row r="6" spans="1:7" x14ac:dyDescent="0.2">
      <c r="A6" s="68"/>
      <c r="B6" s="26" t="s">
        <v>76</v>
      </c>
      <c r="C6" s="53"/>
      <c r="D6" s="53"/>
      <c r="E6" s="31">
        <v>0</v>
      </c>
      <c r="F6" s="6">
        <f>E6</f>
        <v>0</v>
      </c>
    </row>
    <row r="7" spans="1:7" x14ac:dyDescent="0.2">
      <c r="A7" s="74">
        <v>12</v>
      </c>
      <c r="B7" s="2" t="str">
        <f>IF(A7="","",VLOOKUP(A7,'pondération non défavorisé'!$A$5:$B$19,2,FALSE))</f>
        <v>TC</v>
      </c>
      <c r="C7" s="18">
        <v>4</v>
      </c>
      <c r="D7" s="2">
        <f>IF(C7="",0,IF(A7="",0,IF($B$3='données multiage'!$A$2,VLOOKUP(A7,'pondération non défavorisé'!$A$5:$D$19,C7-1,FALSE),IF($B$3='données multiage'!$A$3,VLOOKUP(A7,'pondération défavorisé'!$A$5:$D$19,C7-1,FALSE),0))))</f>
        <v>1</v>
      </c>
      <c r="E7" s="18">
        <v>0</v>
      </c>
      <c r="F7" s="6">
        <f>ROUND(D7*E7,0)</f>
        <v>0</v>
      </c>
    </row>
    <row r="8" spans="1:7" x14ac:dyDescent="0.2">
      <c r="A8" s="74">
        <v>42</v>
      </c>
      <c r="B8" s="2" t="str">
        <f>IF(A8="","",VLOOKUP(A8,'pondération non défavorisé'!$A$5:$B$19,2,FALSE))</f>
        <v>Dvisuelle</v>
      </c>
      <c r="C8" s="18">
        <v>5</v>
      </c>
      <c r="D8" s="2">
        <f>IF(C8="",0,IF(A8="",0,IF($B$3='données multiage'!$A$2,VLOOKUP(A8,'pondération non défavorisé'!$A$5:$D$19,C8-1,FALSE),IF($B$3='données multiage'!$A$3,VLOOKUP(A8,'pondération défavorisé'!$A$5:$D$19,C8-1,FALSE),0))))</f>
        <v>2.5714285714285716</v>
      </c>
      <c r="E8" s="18">
        <v>0</v>
      </c>
      <c r="F8" s="6">
        <f t="shared" ref="F8:F21" si="0">ROUND(D8*E8,0)</f>
        <v>0</v>
      </c>
    </row>
    <row r="9" spans="1:7" x14ac:dyDescent="0.2">
      <c r="A9" s="74"/>
      <c r="B9" s="2" t="str">
        <f>IF(A9="","",VLOOKUP(A9,'pondération non défavorisé'!$A$5:$B$19,2,FALSE))</f>
        <v/>
      </c>
      <c r="C9" s="18"/>
      <c r="D9" s="2">
        <f>IF(C9="",0,IF(A9="",0,IF($B$3='données multiage'!$A$2,VLOOKUP(A9,'pondération non défavorisé'!$A$5:$D$19,C9-1,FALSE),IF($B$3='données multiage'!$A$3,VLOOKUP(A9,'pondération défavorisé'!$A$5:$D$19,C9-1,FALSE),0))))</f>
        <v>0</v>
      </c>
      <c r="E9" s="18">
        <v>0</v>
      </c>
      <c r="F9" s="6">
        <f t="shared" si="0"/>
        <v>0</v>
      </c>
    </row>
    <row r="10" spans="1:7" x14ac:dyDescent="0.2">
      <c r="A10" s="74"/>
      <c r="B10" s="2" t="str">
        <f>IF(A10="","",VLOOKUP(A10,'pondération non défavorisé'!$A$5:$B$19,2,FALSE))</f>
        <v/>
      </c>
      <c r="C10" s="18"/>
      <c r="D10" s="2">
        <f>IF(C10="",0,IF(A10="",0,IF($B$3='données multiage'!$A$2,VLOOKUP(A10,'pondération non défavorisé'!$A$5:$D$19,C10-1,FALSE),IF($B$3='données multiage'!$A$3,VLOOKUP(A10,'pondération défavorisé'!$A$5:$D$19,C10-1,FALSE),0))))</f>
        <v>0</v>
      </c>
      <c r="E10" s="18">
        <v>0</v>
      </c>
      <c r="F10" s="6">
        <f t="shared" si="0"/>
        <v>0</v>
      </c>
    </row>
    <row r="11" spans="1:7" x14ac:dyDescent="0.2">
      <c r="A11" s="74"/>
      <c r="B11" s="2" t="str">
        <f>IF(A11="","",VLOOKUP(A11,'pondération non défavorisé'!$A$5:$B$19,2,FALSE))</f>
        <v/>
      </c>
      <c r="C11" s="18"/>
      <c r="D11" s="2">
        <f>IF(C11="",0,IF(A11="",0,IF($B$3='données multiage'!$A$2,VLOOKUP(A11,'pondération non défavorisé'!$A$5:$D$19,C11-1,FALSE),IF($B$3='données multiage'!$A$3,VLOOKUP(A11,'pondération défavorisé'!$A$5:$D$19,C11-1,FALSE),0))))</f>
        <v>0</v>
      </c>
      <c r="E11" s="18">
        <v>0</v>
      </c>
      <c r="F11" s="6">
        <f t="shared" si="0"/>
        <v>0</v>
      </c>
    </row>
    <row r="12" spans="1:7" x14ac:dyDescent="0.2">
      <c r="A12" s="74"/>
      <c r="B12" s="2" t="str">
        <f>IF(A12="","",VLOOKUP(A12,'pondération non défavorisé'!$A$5:$B$19,2,FALSE))</f>
        <v/>
      </c>
      <c r="C12" s="18"/>
      <c r="D12" s="2">
        <f>IF(C12="",0,IF(A12="",0,IF($B$3='données multiage'!$A$2,VLOOKUP(A12,'pondération non défavorisé'!$A$5:$D$19,C12-1,FALSE),IF($B$3='données multiage'!$A$3,VLOOKUP(A12,'pondération défavorisé'!$A$5:$D$19,C12-1,FALSE),0))))</f>
        <v>0</v>
      </c>
      <c r="E12" s="18">
        <v>0</v>
      </c>
      <c r="F12" s="6">
        <f t="shared" si="0"/>
        <v>0</v>
      </c>
    </row>
    <row r="13" spans="1:7" x14ac:dyDescent="0.2">
      <c r="A13" s="74"/>
      <c r="B13" s="2" t="str">
        <f>IF(A13="","",VLOOKUP(A13,'pondération non défavorisé'!$A$5:$B$19,2,FALSE))</f>
        <v/>
      </c>
      <c r="C13" s="18"/>
      <c r="D13" s="2">
        <f>IF(C13="",0,IF(A13="",0,IF($B$3='données multiage'!$A$2,VLOOKUP(A13,'pondération non défavorisé'!$A$5:$D$19,C13-1,FALSE),IF($B$3='données multiage'!$A$3,VLOOKUP(A13,'pondération défavorisé'!$A$5:$D$19,C13-1,FALSE),0))))</f>
        <v>0</v>
      </c>
      <c r="E13" s="18">
        <v>0</v>
      </c>
      <c r="F13" s="6">
        <f t="shared" si="0"/>
        <v>0</v>
      </c>
    </row>
    <row r="14" spans="1:7" x14ac:dyDescent="0.2">
      <c r="A14" s="74"/>
      <c r="B14" s="2" t="str">
        <f>IF(A14="","",VLOOKUP(A14,'pondération non défavorisé'!$A$5:$B$19,2,FALSE))</f>
        <v/>
      </c>
      <c r="C14" s="18"/>
      <c r="D14" s="2">
        <f>IF(C14="",0,IF(A14="",0,IF($B$3='données multiage'!$A$2,VLOOKUP(A14,'pondération non défavorisé'!$A$5:$D$19,C14-1,FALSE),IF($B$3='données multiage'!$A$3,VLOOKUP(A14,'pondération défavorisé'!$A$5:$D$19,C14-1,FALSE),0))))</f>
        <v>0</v>
      </c>
      <c r="E14" s="18">
        <v>0</v>
      </c>
      <c r="F14" s="6">
        <f t="shared" si="0"/>
        <v>0</v>
      </c>
    </row>
    <row r="15" spans="1:7" x14ac:dyDescent="0.2">
      <c r="A15" s="74"/>
      <c r="B15" s="2" t="str">
        <f>IF(A15="","",VLOOKUP(A15,'pondération non défavorisé'!$A$5:$B$19,2,FALSE))</f>
        <v/>
      </c>
      <c r="C15" s="18"/>
      <c r="D15" s="2">
        <f>IF(C15="",0,IF(A15="",0,IF($B$3='données multiage'!$A$2,VLOOKUP(A15,'pondération non défavorisé'!$A$5:$D$19,C15-1,FALSE),IF($B$3='données multiage'!$A$3,VLOOKUP(A15,'pondération défavorisé'!$A$5:$D$19,C15-1,FALSE),0))))</f>
        <v>0</v>
      </c>
      <c r="E15" s="18">
        <v>0</v>
      </c>
      <c r="F15" s="6">
        <f t="shared" si="0"/>
        <v>0</v>
      </c>
    </row>
    <row r="16" spans="1:7" x14ac:dyDescent="0.2">
      <c r="A16" s="74"/>
      <c r="B16" s="2" t="str">
        <f>IF(A16="","",VLOOKUP(A16,'pondération non défavorisé'!$A$5:$B$19,2,FALSE))</f>
        <v/>
      </c>
      <c r="C16" s="18"/>
      <c r="D16" s="2">
        <f>IF(C16="",0,IF(A16="",0,IF($B$3='données multiage'!$A$2,VLOOKUP(A16,'pondération non défavorisé'!$A$5:$D$19,C16-1,FALSE),IF($B$3='données multiage'!$A$3,VLOOKUP(A16,'pondération défavorisé'!$A$5:$D$19,C16-1,FALSE),0))))</f>
        <v>0</v>
      </c>
      <c r="E16" s="18">
        <v>0</v>
      </c>
      <c r="F16" s="6">
        <f t="shared" si="0"/>
        <v>0</v>
      </c>
    </row>
    <row r="17" spans="1:6" x14ac:dyDescent="0.2">
      <c r="A17" s="74"/>
      <c r="B17" s="2" t="str">
        <f>IF(A17="","",VLOOKUP(A17,'pondération non défavorisé'!$A$5:$B$19,2,FALSE))</f>
        <v/>
      </c>
      <c r="C17" s="18"/>
      <c r="D17" s="2">
        <f>IF(C17="",0,IF(A17="",0,IF($B$3='données multiage'!$A$2,VLOOKUP(A17,'pondération non défavorisé'!$A$5:$D$19,C17-1,FALSE),IF($B$3='données multiage'!$A$3,VLOOKUP(A17,'pondération défavorisé'!$A$5:$D$19,C17-1,FALSE),0))))</f>
        <v>0</v>
      </c>
      <c r="E17" s="18">
        <v>0</v>
      </c>
      <c r="F17" s="6">
        <f t="shared" si="0"/>
        <v>0</v>
      </c>
    </row>
    <row r="18" spans="1:6" x14ac:dyDescent="0.2">
      <c r="A18" s="74"/>
      <c r="B18" s="2" t="str">
        <f>IF(A18="","",VLOOKUP(A18,'pondération non défavorisé'!$A$5:$B$19,2,FALSE))</f>
        <v/>
      </c>
      <c r="C18" s="18"/>
      <c r="D18" s="2">
        <f>IF(C18="",0,IF(A18="",0,IF($B$3='données multiage'!$A$2,VLOOKUP(A18,'pondération non défavorisé'!$A$5:$D$19,C18-1,FALSE),IF($B$3='données multiage'!$A$3,VLOOKUP(A18,'pondération défavorisé'!$A$5:$D$19,C18-1,FALSE),0))))</f>
        <v>0</v>
      </c>
      <c r="E18" s="18">
        <v>0</v>
      </c>
      <c r="F18" s="6">
        <f t="shared" si="0"/>
        <v>0</v>
      </c>
    </row>
    <row r="19" spans="1:6" x14ac:dyDescent="0.2">
      <c r="A19" s="74"/>
      <c r="B19" s="2" t="str">
        <f>IF(A19="","",VLOOKUP(A19,'pondération non défavorisé'!$A$5:$B$19,2,FALSE))</f>
        <v/>
      </c>
      <c r="C19" s="18"/>
      <c r="D19" s="2">
        <f>IF(C19="",0,IF(A19="",0,IF($B$3='données multiage'!$A$2,VLOOKUP(A19,'pondération non défavorisé'!$A$5:$D$19,C19-1,FALSE),IF($B$3='données multiage'!$A$3,VLOOKUP(A19,'pondération défavorisé'!$A$5:$D$19,C19-1,FALSE),0))))</f>
        <v>0</v>
      </c>
      <c r="E19" s="18">
        <v>0</v>
      </c>
      <c r="F19" s="6">
        <f t="shared" si="0"/>
        <v>0</v>
      </c>
    </row>
    <row r="20" spans="1:6" x14ac:dyDescent="0.2">
      <c r="A20" s="74"/>
      <c r="B20" s="2" t="str">
        <f>IF(A20="","",VLOOKUP(A20,'pondération non défavorisé'!$A$5:$B$19,2,FALSE))</f>
        <v/>
      </c>
      <c r="C20" s="18"/>
      <c r="D20" s="2">
        <f>IF(C20="",0,IF(A20="",0,IF($B$3='données multiage'!$A$2,VLOOKUP(A20,'pondération non défavorisé'!$A$5:$D$19,C20-1,FALSE),IF($B$3='données multiage'!$A$3,VLOOKUP(A20,'pondération défavorisé'!$A$5:$D$19,C20-1,FALSE),0))))</f>
        <v>0</v>
      </c>
      <c r="E20" s="18">
        <v>0</v>
      </c>
      <c r="F20" s="6">
        <f t="shared" si="0"/>
        <v>0</v>
      </c>
    </row>
    <row r="21" spans="1:6" ht="15.75" thickBot="1" x14ac:dyDescent="0.25">
      <c r="A21" s="75"/>
      <c r="B21" s="69" t="str">
        <f>IF(A21="","",VLOOKUP(A21,'pondération non défavorisé'!$A$5:$B$19,2,FALSE))</f>
        <v/>
      </c>
      <c r="C21" s="76"/>
      <c r="D21" s="69">
        <f>IF(C21="",0,IF(A21="",0,IF($B$3='données multiage'!$A$2,VLOOKUP(A21,'pondération non défavorisé'!$A$5:$D$19,C21-1,FALSE),IF($B$3='données multiage'!$A$3,VLOOKUP(A21,'pondération défavorisé'!$A$5:$D$19,C21-1,FALSE),0))))</f>
        <v>0</v>
      </c>
      <c r="E21" s="76">
        <v>0</v>
      </c>
      <c r="F21" s="44">
        <f t="shared" si="0"/>
        <v>0</v>
      </c>
    </row>
    <row r="22" spans="1:6" ht="16.5" thickBot="1" x14ac:dyDescent="0.3">
      <c r="E22" s="10" t="s">
        <v>88</v>
      </c>
      <c r="F22" s="10">
        <f>SUM(F6:F21)</f>
        <v>0</v>
      </c>
    </row>
    <row r="23" spans="1:6" ht="16.5" thickBot="1" x14ac:dyDescent="0.3">
      <c r="E23" s="55" t="s">
        <v>89</v>
      </c>
      <c r="F23" s="55">
        <f>IF(B3='données multiage'!A2,F22-'données multiage'!B2,IF(B3='données multiage'!A3,F22-'données multiage'!B3,0))</f>
        <v>-13</v>
      </c>
    </row>
  </sheetData>
  <sheetProtection algorithmName="SHA-512" hashValue="+jjfTSNZkBa34LFVz69uk2u3Sk+l+JNkPL4zi3sgERRXDLs1wi4NvzVjvW/EeiApSIs3yMKuH8VvmQ5dVplOnA==" saltValue="SGC9VsxQDb6VuiSd79U9xQ==" spinCount="100000" sheet="1" objects="1" scenarios="1"/>
  <mergeCells count="1">
    <mergeCell ref="A1:G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D767F6-319A-428D-8F13-5B6B88F08ADC}">
          <x14:formula1>
            <xm:f>'données multiage'!$A$2:$A$3</xm:f>
          </x14:formula1>
          <xm:sqref>B3</xm:sqref>
        </x14:dataValidation>
        <x14:dataValidation type="list" allowBlank="1" showInputMessage="1" showErrorMessage="1" xr:uid="{CFD9E10E-43C3-47D7-941E-3CA7D222EBF8}">
          <x14:formula1>
            <xm:f>'données multiage'!$D$2:$D$3</xm:f>
          </x14:formula1>
          <xm:sqref>C7:C21</xm:sqref>
        </x14:dataValidation>
        <x14:dataValidation type="list" allowBlank="1" showInputMessage="1" showErrorMessage="1" xr:uid="{E4E8E143-00F1-43EE-A1ED-A2B2E3A42050}">
          <x14:formula1>
            <xm:f>'données multiage'!$A$14:$A$25</xm:f>
          </x14:formula1>
          <xm:sqref>A7:A21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"/>
  <sheetViews>
    <sheetView topLeftCell="A2" zoomScale="130" zoomScaleNormal="130" workbookViewId="0">
      <selection activeCell="C17" sqref="C17"/>
    </sheetView>
  </sheetViews>
  <sheetFormatPr baseColWidth="10" defaultColWidth="11.5546875" defaultRowHeight="15" x14ac:dyDescent="0.2"/>
  <cols>
    <col min="1" max="1" width="30.77734375" customWidth="1"/>
    <col min="3" max="3" width="14.44140625" customWidth="1"/>
    <col min="6" max="6" width="30.5546875" customWidth="1"/>
    <col min="7" max="7" width="20.88671875" customWidth="1"/>
  </cols>
  <sheetData>
    <row r="1" spans="1:10" ht="57.95" customHeight="1" x14ac:dyDescent="0.25">
      <c r="A1" s="151" t="s">
        <v>98</v>
      </c>
      <c r="B1" s="151"/>
      <c r="C1" s="151"/>
      <c r="D1" s="151"/>
      <c r="E1" s="151"/>
    </row>
    <row r="2" spans="1:10" ht="15.75" thickBot="1" x14ac:dyDescent="0.25"/>
    <row r="3" spans="1:10" ht="16.5" thickBot="1" x14ac:dyDescent="0.3">
      <c r="A3" s="55" t="s">
        <v>99</v>
      </c>
      <c r="B3" s="77">
        <v>4</v>
      </c>
      <c r="J3" s="4"/>
    </row>
    <row r="4" spans="1:10" ht="15.75" thickBot="1" x14ac:dyDescent="0.25"/>
    <row r="5" spans="1:10" ht="16.5" thickBot="1" x14ac:dyDescent="0.3">
      <c r="B5" s="55" t="s">
        <v>43</v>
      </c>
      <c r="C5" s="55" t="s">
        <v>74</v>
      </c>
      <c r="D5" s="52" t="s">
        <v>75</v>
      </c>
      <c r="G5" s="58"/>
    </row>
    <row r="6" spans="1:10" ht="15.75" x14ac:dyDescent="0.25">
      <c r="A6" s="60" t="s">
        <v>76</v>
      </c>
      <c r="B6" s="61"/>
      <c r="C6" s="62">
        <v>0</v>
      </c>
      <c r="D6" s="63">
        <f>C6</f>
        <v>0</v>
      </c>
      <c r="G6" s="58"/>
    </row>
    <row r="7" spans="1:10" x14ac:dyDescent="0.2">
      <c r="A7" s="7" t="s">
        <v>13</v>
      </c>
      <c r="B7" s="5">
        <v>12</v>
      </c>
      <c r="C7" s="18">
        <v>0</v>
      </c>
      <c r="D7" s="6">
        <f>ROUND(IF($B$3=1,C7*'pondération non défavorisé'!F5,IF($B$3=2,C7*'pondération non défavorisé'!G5,IF($B$3&gt;2,C7*'pondération non défavorisé'!H5))),0)</f>
        <v>0</v>
      </c>
      <c r="G7" s="57"/>
    </row>
    <row r="8" spans="1:10" s="1" customFormat="1" x14ac:dyDescent="0.2">
      <c r="A8" s="7" t="s">
        <v>14</v>
      </c>
      <c r="B8" s="5">
        <v>14</v>
      </c>
      <c r="C8" s="18">
        <v>0</v>
      </c>
      <c r="D8" s="6">
        <f>ROUND(IF($B$3=1,C8*'pondération non défavorisé'!F6,IF($B$3=2,C8*'pondération non défavorisé'!G6,IF($B$3&gt;2,C8*'pondération non défavorisé'!H6))),0)</f>
        <v>0</v>
      </c>
      <c r="E8"/>
      <c r="F8"/>
      <c r="G8" s="57"/>
    </row>
    <row r="9" spans="1:10" s="1" customFormat="1" x14ac:dyDescent="0.2">
      <c r="A9" s="7" t="s">
        <v>77</v>
      </c>
      <c r="B9" s="5">
        <v>23</v>
      </c>
      <c r="C9" s="18">
        <v>0</v>
      </c>
      <c r="D9" s="6">
        <f>ROUND(IF($B$3=1,C9*'pondération non défavorisé'!F7,IF($B$3=2,C9*'pondération non défavorisé'!G7,IF($B$3&gt;2,C9*'pondération non défavorisé'!H7))),0)</f>
        <v>0</v>
      </c>
      <c r="E9"/>
      <c r="F9"/>
      <c r="G9" s="57"/>
    </row>
    <row r="10" spans="1:10" s="1" customFormat="1" x14ac:dyDescent="0.2">
      <c r="A10" s="64" t="s">
        <v>78</v>
      </c>
      <c r="B10" s="3">
        <v>24</v>
      </c>
      <c r="C10" s="32">
        <v>0</v>
      </c>
      <c r="D10" s="6">
        <f>ROUND(IF($B$3=1,C10*'pondération non défavorisé'!F8,IF($B$3=2,C10*'pondération non défavorisé'!G8,IF($B$3&gt;2,C10*'pondération non défavorisé'!H8))),0)</f>
        <v>0</v>
      </c>
      <c r="G10" s="50"/>
    </row>
    <row r="11" spans="1:10" s="1" customFormat="1" x14ac:dyDescent="0.2">
      <c r="A11" s="64" t="s">
        <v>79</v>
      </c>
      <c r="B11" s="3">
        <v>33</v>
      </c>
      <c r="C11" s="32">
        <v>0</v>
      </c>
      <c r="D11" s="6">
        <f>ROUND(IF($B$3=1,C11*'pondération non défavorisé'!F9,IF($B$3=2,C11*'pondération non défavorisé'!G9,IF($B$3&gt;2,C11*'pondération non défavorisé'!H9))),0)</f>
        <v>0</v>
      </c>
      <c r="G11" s="50"/>
    </row>
    <row r="12" spans="1:10" s="1" customFormat="1" x14ac:dyDescent="0.2">
      <c r="A12" s="64" t="s">
        <v>80</v>
      </c>
      <c r="B12" s="3">
        <v>34</v>
      </c>
      <c r="C12" s="32">
        <v>0</v>
      </c>
      <c r="D12" s="6">
        <f>ROUND(IF($B$3=1,C12*'pondération non défavorisé'!F10,IF($B$3=2,C12*'pondération non défavorisé'!G10,IF($B$3&gt;2,C12*'pondération non défavorisé'!H10))),0)</f>
        <v>0</v>
      </c>
      <c r="G12" s="50"/>
    </row>
    <row r="13" spans="1:10" s="1" customFormat="1" x14ac:dyDescent="0.2">
      <c r="A13" s="64" t="s">
        <v>81</v>
      </c>
      <c r="B13" s="3">
        <v>34</v>
      </c>
      <c r="C13" s="32">
        <v>0</v>
      </c>
      <c r="D13" s="6">
        <f>ROUND(IF($B$3=1,C13*'pondération non défavorisé'!F11,IF($B$3=2,C13*'pondération non défavorisé'!G11,IF($B$3&gt;2,C13*'pondération non défavorisé'!H11))),0)</f>
        <v>0</v>
      </c>
    </row>
    <row r="14" spans="1:10" s="1" customFormat="1" x14ac:dyDescent="0.2">
      <c r="A14" s="64" t="s">
        <v>82</v>
      </c>
      <c r="B14" s="3">
        <v>36</v>
      </c>
      <c r="C14" s="32">
        <v>0</v>
      </c>
      <c r="D14" s="6">
        <f>ROUND(IF($B$3=1,C14*'pondération non défavorisé'!F12,IF($B$3=2,C14*'pondération non défavorisé'!G12,IF($B$3&gt;2,C14*'pondération non défavorisé'!H12))),0)</f>
        <v>0</v>
      </c>
    </row>
    <row r="15" spans="1:10" s="1" customFormat="1" x14ac:dyDescent="0.2">
      <c r="A15" s="64" t="s">
        <v>83</v>
      </c>
      <c r="B15" s="3">
        <v>42</v>
      </c>
      <c r="C15" s="32">
        <v>0</v>
      </c>
      <c r="D15" s="6">
        <f>ROUND(IF($B$3=1,C15*'pondération non défavorisé'!F13,IF($B$3=2,C15*'pondération non défavorisé'!G13,IF($B$3&gt;2,C15*'pondération non défavorisé'!H13))),0)</f>
        <v>0</v>
      </c>
    </row>
    <row r="16" spans="1:10" s="1" customFormat="1" x14ac:dyDescent="0.2">
      <c r="A16" s="64" t="s">
        <v>84</v>
      </c>
      <c r="B16" s="3">
        <v>44</v>
      </c>
      <c r="C16" s="32">
        <v>0</v>
      </c>
      <c r="D16" s="6">
        <f>ROUND(IF($B$3=1,C16*'pondération non défavorisé'!F14,IF($B$3=2,C16*'pondération non défavorisé'!G14,IF($B$3&gt;2,C16*'pondération non défavorisé'!H14))),0)</f>
        <v>0</v>
      </c>
    </row>
    <row r="17" spans="1:7" s="1" customFormat="1" x14ac:dyDescent="0.2">
      <c r="A17" s="64" t="s">
        <v>85</v>
      </c>
      <c r="B17" s="3">
        <v>50</v>
      </c>
      <c r="C17" s="32">
        <v>0</v>
      </c>
      <c r="D17" s="6">
        <f>ROUND(IF($B$3=1,C17*'pondération non défavorisé'!F15,IF($B$3=2,C17*'pondération non défavorisé'!G15,IF($B$3&gt;2,C17*'pondération non défavorisé'!H15))),0)</f>
        <v>0</v>
      </c>
    </row>
    <row r="18" spans="1:7" s="1" customFormat="1" ht="30" x14ac:dyDescent="0.2">
      <c r="A18" s="64" t="s">
        <v>86</v>
      </c>
      <c r="B18" s="3">
        <v>53</v>
      </c>
      <c r="C18" s="32">
        <v>0</v>
      </c>
      <c r="D18" s="6">
        <f>ROUND(IF($B$3=1,C18*'pondération non défavorisé'!F16,IF($B$3=2,C18*'pondération non défavorisé'!G16,IF($B$3&gt;2,C18*'pondération non défavorisé'!H16))),0)</f>
        <v>0</v>
      </c>
    </row>
    <row r="19" spans="1:7" s="1" customFormat="1" x14ac:dyDescent="0.2">
      <c r="A19" s="64" t="s">
        <v>87</v>
      </c>
      <c r="B19" s="3">
        <v>99</v>
      </c>
      <c r="C19" s="32">
        <v>0</v>
      </c>
      <c r="D19" s="6">
        <f>ROUND(IF($B$3=1,C19*'pondération non défavorisé'!F18,IF($B$3=2,C19*'pondération non défavorisé'!G18,IF($B$3&gt;2,C19*'pondération non défavorisé'!H18))),0)</f>
        <v>0</v>
      </c>
    </row>
    <row r="20" spans="1:7" ht="15.75" thickBot="1" x14ac:dyDescent="0.25">
      <c r="A20" s="65" t="s">
        <v>100</v>
      </c>
      <c r="B20" s="66" t="s">
        <v>28</v>
      </c>
      <c r="C20" s="67">
        <v>0</v>
      </c>
      <c r="D20" s="44">
        <f>ROUND(IF($B$3=1,C20*'pondération non défavorisé'!F19,IF($B$3=2,C20*'pondération non défavorisé'!G19,IF($B$3&gt;2,C20*'pondération non défavorisé'!H19))),0)</f>
        <v>0</v>
      </c>
      <c r="E20" s="1"/>
      <c r="F20" s="1"/>
      <c r="G20" s="1"/>
    </row>
    <row r="21" spans="1:7" ht="16.5" thickBot="1" x14ac:dyDescent="0.3">
      <c r="A21" s="1"/>
      <c r="B21" s="1"/>
      <c r="C21" s="71" t="s">
        <v>88</v>
      </c>
      <c r="D21" s="71">
        <f>SUM(D6:D20)</f>
        <v>0</v>
      </c>
      <c r="E21" s="1"/>
      <c r="F21" s="1"/>
      <c r="G21" s="1"/>
    </row>
    <row r="22" spans="1:7" ht="35.450000000000003" customHeight="1" thickBot="1" x14ac:dyDescent="0.3">
      <c r="C22" s="55" t="s">
        <v>89</v>
      </c>
      <c r="D22" s="55">
        <f>IF($B$3=1,D21-22,IF($B$3=2,D21-24,IF($B$3&gt;2,D21-26)))</f>
        <v>-26</v>
      </c>
    </row>
    <row r="24" spans="1:7" ht="123.95" customHeight="1" x14ac:dyDescent="0.25">
      <c r="A24" s="152" t="s">
        <v>90</v>
      </c>
      <c r="B24" s="152"/>
      <c r="C24" s="152"/>
      <c r="D24" s="152"/>
      <c r="E24" s="152"/>
      <c r="F24" s="152"/>
    </row>
  </sheetData>
  <sheetProtection algorithmName="SHA-512" hashValue="VLU2eJ2KEfBL+ZrwATM2CoFFtSV7Cyif/qky6Rn0f2OEDl4Zo2WzUwJ1Eulm0Rg6OdpcQIRb+IYTTK2wQsHJVw==" saltValue="gC3Kmzi+LgnXTdqTQhPL6w==" spinCount="100000" sheet="1" objects="1" scenarios="1"/>
  <mergeCells count="2">
    <mergeCell ref="A1:E1"/>
    <mergeCell ref="A24:F2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FC3AAE-E25D-4198-B5EF-35859B3A8D01}">
          <x14:formula1>
            <xm:f>'type GPAE non defav'!$D$3:$D$8</xm:f>
          </x14:formula1>
          <xm:sqref>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FFA1-A870-4162-9253-613990BA5F22}">
  <dimension ref="A1:F23"/>
  <sheetViews>
    <sheetView zoomScale="115" zoomScaleNormal="115" workbookViewId="0">
      <selection activeCell="H20" sqref="H20:H21"/>
    </sheetView>
  </sheetViews>
  <sheetFormatPr baseColWidth="10" defaultColWidth="11.5546875" defaultRowHeight="15" x14ac:dyDescent="0.2"/>
  <cols>
    <col min="2" max="2" width="21.5546875" customWidth="1"/>
    <col min="3" max="3" width="15.5546875" customWidth="1"/>
    <col min="4" max="4" width="22" customWidth="1"/>
    <col min="5" max="5" width="16.21875" customWidth="1"/>
  </cols>
  <sheetData>
    <row r="1" spans="1:6" ht="51.6" customHeight="1" x14ac:dyDescent="0.25">
      <c r="A1" s="151" t="s">
        <v>101</v>
      </c>
      <c r="B1" s="151"/>
      <c r="C1" s="151"/>
      <c r="D1" s="151"/>
      <c r="E1" s="151"/>
    </row>
    <row r="2" spans="1:6" ht="15.75" thickBot="1" x14ac:dyDescent="0.25"/>
    <row r="3" spans="1:6" ht="16.5" thickBot="1" x14ac:dyDescent="0.3">
      <c r="A3" s="54" t="s">
        <v>102</v>
      </c>
      <c r="B3" s="56"/>
      <c r="C3" s="77" t="s">
        <v>103</v>
      </c>
    </row>
    <row r="4" spans="1:6" ht="15.75" thickBot="1" x14ac:dyDescent="0.25"/>
    <row r="5" spans="1:6" ht="16.5" thickBot="1" x14ac:dyDescent="0.3">
      <c r="A5" s="55" t="s">
        <v>43</v>
      </c>
      <c r="B5" s="55" t="s">
        <v>94</v>
      </c>
      <c r="C5" s="55" t="s">
        <v>104</v>
      </c>
      <c r="D5" s="55" t="s">
        <v>96</v>
      </c>
      <c r="E5" s="55" t="s">
        <v>97</v>
      </c>
      <c r="F5" s="52" t="s">
        <v>75</v>
      </c>
    </row>
    <row r="6" spans="1:6" x14ac:dyDescent="0.2">
      <c r="A6" s="73"/>
      <c r="B6" s="26" t="s">
        <v>76</v>
      </c>
      <c r="C6" s="53"/>
      <c r="D6" s="53"/>
      <c r="E6" s="31">
        <v>0</v>
      </c>
      <c r="F6" s="6">
        <f>E6</f>
        <v>0</v>
      </c>
    </row>
    <row r="7" spans="1:6" x14ac:dyDescent="0.2">
      <c r="A7" s="74">
        <v>33</v>
      </c>
      <c r="B7" s="2" t="str">
        <f>IF(A7="","",VLOOKUP(A7,'pondération non défavorisé'!$A$5:$B$19,2,FALSE))</f>
        <v>DMotriceL</v>
      </c>
      <c r="C7" s="18">
        <v>1</v>
      </c>
      <c r="D7" s="2">
        <f>IF(A7="",0,IF(C7="",0,VLOOKUP(A7,'pondération non défavorisé'!$A$5:$K$19,5+C7,FALSE)))</f>
        <v>1.5714285714285714</v>
      </c>
      <c r="E7" s="18">
        <v>0</v>
      </c>
      <c r="F7" s="6">
        <f>ROUND(D7*E7,0)</f>
        <v>0</v>
      </c>
    </row>
    <row r="8" spans="1:6" x14ac:dyDescent="0.2">
      <c r="A8" s="74" t="s">
        <v>28</v>
      </c>
      <c r="B8" s="2" t="str">
        <f>IF(A8="","",VLOOKUP(A8,'pondération non défavorisé'!$A$5:$B$19,2,FALSE))</f>
        <v>Difficulté d'apprentissage</v>
      </c>
      <c r="C8" s="18">
        <v>2</v>
      </c>
      <c r="D8" s="2">
        <f>IF(A8="",0,IF(C8="",0,VLOOKUP(A8,'pondération non défavorisé'!$A$5:$K$19,5+C8,FALSE)))</f>
        <v>1.5</v>
      </c>
      <c r="E8" s="18">
        <v>0</v>
      </c>
      <c r="F8" s="6">
        <f t="shared" ref="F8:F21" si="0">ROUND(D8*E8,0)</f>
        <v>0</v>
      </c>
    </row>
    <row r="9" spans="1:6" x14ac:dyDescent="0.2">
      <c r="A9" s="74">
        <v>36</v>
      </c>
      <c r="B9" s="2" t="str">
        <f>IF(A9="","",VLOOKUP(A9,'pondération non défavorisé'!$A$5:$B$19,2,FALSE))</f>
        <v>DmotriceG</v>
      </c>
      <c r="C9" s="18">
        <v>1</v>
      </c>
      <c r="D9" s="2">
        <f>IF(A9="",0,IF(C9="",0,VLOOKUP(A9,'pondération non défavorisé'!$A$5:$K$19,5+C9,FALSE)))</f>
        <v>2.2000000000000002</v>
      </c>
      <c r="E9" s="18">
        <v>0</v>
      </c>
      <c r="F9" s="6">
        <f t="shared" si="0"/>
        <v>0</v>
      </c>
    </row>
    <row r="10" spans="1:6" x14ac:dyDescent="0.2">
      <c r="A10" s="74" t="s">
        <v>28</v>
      </c>
      <c r="B10" s="2" t="str">
        <f>IF(A10="","",VLOOKUP(A10,'pondération non défavorisé'!$A$5:$B$19,2,FALSE))</f>
        <v>Difficulté d'apprentissage</v>
      </c>
      <c r="C10" s="18">
        <v>2</v>
      </c>
      <c r="D10" s="2">
        <f>IF(A10="",0,IF(C10="",0,VLOOKUP(A10,'pondération non défavorisé'!$A$5:$K$19,5+C10,FALSE)))</f>
        <v>1.5</v>
      </c>
      <c r="E10" s="18">
        <v>0</v>
      </c>
      <c r="F10" s="6">
        <f t="shared" si="0"/>
        <v>0</v>
      </c>
    </row>
    <row r="11" spans="1:6" x14ac:dyDescent="0.2">
      <c r="A11" s="74"/>
      <c r="B11" s="2" t="str">
        <f>IF(A11="","",VLOOKUP(A11,'pondération non défavorisé'!$A$5:$B$19,2,FALSE))</f>
        <v/>
      </c>
      <c r="C11" s="18"/>
      <c r="D11" s="2">
        <f>IF(A11="",0,IF(C11="",0,VLOOKUP(A11,'pondération non défavorisé'!$A$5:$K$19,5+C11,FALSE)))</f>
        <v>0</v>
      </c>
      <c r="E11" s="18">
        <v>0</v>
      </c>
      <c r="F11" s="6">
        <f t="shared" si="0"/>
        <v>0</v>
      </c>
    </row>
    <row r="12" spans="1:6" x14ac:dyDescent="0.2">
      <c r="A12" s="74"/>
      <c r="B12" s="2" t="str">
        <f>IF(A12="","",VLOOKUP(A12,'pondération non défavorisé'!$A$5:$B$19,2,FALSE))</f>
        <v/>
      </c>
      <c r="C12" s="18"/>
      <c r="D12" s="2">
        <f>IF(A12="",0,IF(C12="",0,VLOOKUP(A12,'pondération non défavorisé'!$A$5:$K$19,5+C12,FALSE)))</f>
        <v>0</v>
      </c>
      <c r="E12" s="18"/>
      <c r="F12" s="6">
        <f t="shared" si="0"/>
        <v>0</v>
      </c>
    </row>
    <row r="13" spans="1:6" x14ac:dyDescent="0.2">
      <c r="A13" s="74"/>
      <c r="B13" s="2" t="str">
        <f>IF(A13="","",VLOOKUP(A13,'pondération non défavorisé'!$A$5:$B$19,2,FALSE))</f>
        <v/>
      </c>
      <c r="C13" s="18"/>
      <c r="D13" s="2">
        <f>IF(A13="",0,IF(C13="",0,VLOOKUP(A13,'pondération non défavorisé'!$A$5:$K$19,5+C13,FALSE)))</f>
        <v>0</v>
      </c>
      <c r="E13" s="18"/>
      <c r="F13" s="6">
        <f t="shared" si="0"/>
        <v>0</v>
      </c>
    </row>
    <row r="14" spans="1:6" x14ac:dyDescent="0.2">
      <c r="A14" s="74"/>
      <c r="B14" s="2" t="str">
        <f>IF(A14="","",VLOOKUP(A14,'pondération non défavorisé'!$A$5:$B$19,2,FALSE))</f>
        <v/>
      </c>
      <c r="C14" s="18"/>
      <c r="D14" s="2">
        <f>IF(A14="",0,IF(C14="",0,VLOOKUP(A14,'pondération non défavorisé'!$A$5:$K$19,5+C14,FALSE)))</f>
        <v>0</v>
      </c>
      <c r="E14" s="18"/>
      <c r="F14" s="6">
        <f t="shared" si="0"/>
        <v>0</v>
      </c>
    </row>
    <row r="15" spans="1:6" x14ac:dyDescent="0.2">
      <c r="A15" s="74"/>
      <c r="B15" s="2" t="str">
        <f>IF(A15="","",VLOOKUP(A15,'pondération non défavorisé'!$A$5:$B$19,2,FALSE))</f>
        <v/>
      </c>
      <c r="C15" s="18"/>
      <c r="D15" s="2">
        <f>IF(A15="",0,IF(C15="",0,VLOOKUP(A15,'pondération non défavorisé'!$A$5:$K$19,5+C15,FALSE)))</f>
        <v>0</v>
      </c>
      <c r="E15" s="18"/>
      <c r="F15" s="6">
        <f t="shared" si="0"/>
        <v>0</v>
      </c>
    </row>
    <row r="16" spans="1:6" x14ac:dyDescent="0.2">
      <c r="A16" s="74"/>
      <c r="B16" s="2" t="str">
        <f>IF(A16="","",VLOOKUP(A16,'pondération non défavorisé'!$A$5:$B$19,2,FALSE))</f>
        <v/>
      </c>
      <c r="C16" s="18"/>
      <c r="D16" s="2">
        <f>IF(A16="",0,IF(C16="",0,VLOOKUP(A16,'pondération non défavorisé'!$A$5:$K$19,5+C16,FALSE)))</f>
        <v>0</v>
      </c>
      <c r="E16" s="18"/>
      <c r="F16" s="6">
        <f t="shared" si="0"/>
        <v>0</v>
      </c>
    </row>
    <row r="17" spans="1:6" x14ac:dyDescent="0.2">
      <c r="A17" s="74"/>
      <c r="B17" s="2" t="str">
        <f>IF(A17="","",VLOOKUP(A17,'pondération non défavorisé'!$A$5:$B$19,2,FALSE))</f>
        <v/>
      </c>
      <c r="C17" s="18"/>
      <c r="D17" s="2">
        <f>IF(A17="",0,IF(C17="",0,VLOOKUP(A17,'pondération non défavorisé'!$A$5:$K$19,5+C17,FALSE)))</f>
        <v>0</v>
      </c>
      <c r="E17" s="18"/>
      <c r="F17" s="6">
        <f t="shared" si="0"/>
        <v>0</v>
      </c>
    </row>
    <row r="18" spans="1:6" x14ac:dyDescent="0.2">
      <c r="A18" s="74"/>
      <c r="B18" s="2" t="str">
        <f>IF(A18="","",VLOOKUP(A18,'pondération non défavorisé'!$A$5:$B$19,2,FALSE))</f>
        <v/>
      </c>
      <c r="C18" s="18"/>
      <c r="D18" s="2">
        <f>IF(A18="",0,IF(C18="",0,VLOOKUP(A18,'pondération non défavorisé'!$A$5:$K$19,5+C18,FALSE)))</f>
        <v>0</v>
      </c>
      <c r="E18" s="18"/>
      <c r="F18" s="6">
        <f t="shared" si="0"/>
        <v>0</v>
      </c>
    </row>
    <row r="19" spans="1:6" x14ac:dyDescent="0.2">
      <c r="A19" s="74"/>
      <c r="B19" s="2" t="str">
        <f>IF(A19="","",VLOOKUP(A19,'pondération non défavorisé'!$A$5:$B$19,2,FALSE))</f>
        <v/>
      </c>
      <c r="C19" s="18"/>
      <c r="D19" s="2">
        <f>IF(A19="",0,IF(C19="",0,VLOOKUP(A19,'pondération non défavorisé'!$A$5:$K$19,5+C19,FALSE)))</f>
        <v>0</v>
      </c>
      <c r="E19" s="18"/>
      <c r="F19" s="6">
        <f t="shared" si="0"/>
        <v>0</v>
      </c>
    </row>
    <row r="20" spans="1:6" x14ac:dyDescent="0.2">
      <c r="A20" s="74"/>
      <c r="B20" s="2" t="str">
        <f>IF(A20="","",VLOOKUP(A20,'pondération non défavorisé'!$A$5:$B$19,2,FALSE))</f>
        <v/>
      </c>
      <c r="C20" s="18"/>
      <c r="D20" s="2">
        <f>IF(A20="",0,IF(C20="",0,VLOOKUP(A20,'pondération non défavorisé'!$A$5:$K$19,5+C20,FALSE)))</f>
        <v>0</v>
      </c>
      <c r="E20" s="18"/>
      <c r="F20" s="6">
        <f t="shared" si="0"/>
        <v>0</v>
      </c>
    </row>
    <row r="21" spans="1:6" ht="15.75" thickBot="1" x14ac:dyDescent="0.25">
      <c r="A21" s="75"/>
      <c r="B21" s="69" t="str">
        <f>IF(A21="","",VLOOKUP(A21,'pondération non défavorisé'!$A$5:$B$19,2,FALSE))</f>
        <v/>
      </c>
      <c r="C21" s="76"/>
      <c r="D21" s="69">
        <f>IF(A21="",0,IF(C21="",0,VLOOKUP(A21,'pondération non défavorisé'!$A$5:$K$19,5+C21,FALSE)))</f>
        <v>0</v>
      </c>
      <c r="E21" s="76"/>
      <c r="F21" s="44">
        <f t="shared" si="0"/>
        <v>0</v>
      </c>
    </row>
    <row r="22" spans="1:6" ht="16.5" thickBot="1" x14ac:dyDescent="0.3">
      <c r="E22" s="10" t="s">
        <v>88</v>
      </c>
      <c r="F22" s="10">
        <f>SUM(F6:F21)</f>
        <v>0</v>
      </c>
    </row>
    <row r="23" spans="1:6" ht="16.5" thickBot="1" x14ac:dyDescent="0.3">
      <c r="E23" s="55" t="s">
        <v>89</v>
      </c>
      <c r="F23" s="55">
        <f>F22-VLOOKUP(C3,'type GPAE non defav'!A3:B14,2,FALSE)</f>
        <v>-20</v>
      </c>
    </row>
  </sheetData>
  <sheetProtection algorithmName="SHA-512" hashValue="UwkrGZMBgrbZbWC6rPc2UYbj1jkvz6Y/yEQOu7K+70Kh5HyrZOZ0bmNUhcMDeHeTAYd3E5eibT9kv4eAwfKjcw==" saltValue="YHO5YgsXn3BQxmupgHZzWg==" spinCount="100000" sheet="1" objects="1" scenarios="1"/>
  <mergeCells count="1">
    <mergeCell ref="A1:E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1244DBE-E640-417E-A6D9-79F8F7C0DE38}">
          <x14:formula1>
            <xm:f>'type GPAE non defav'!$A$3:$A$14</xm:f>
          </x14:formula1>
          <xm:sqref>C3:D3</xm:sqref>
        </x14:dataValidation>
        <x14:dataValidation type="list" allowBlank="1" showInputMessage="1" showErrorMessage="1" xr:uid="{585F7AAA-F922-4059-BE73-5C3028AE0400}">
          <x14:formula1>
            <xm:f>'type GPAE non defav'!$D$3:$D$8</xm:f>
          </x14:formula1>
          <xm:sqref>C7:C21</xm:sqref>
        </x14:dataValidation>
        <x14:dataValidation type="list" allowBlank="1" showInputMessage="1" showErrorMessage="1" xr:uid="{8BAC705D-DF99-4F56-93EF-A64F09D31678}">
          <x14:formula1>
            <xm:f>'type GPAE non defav'!$A$18:$A$31</xm:f>
          </x14:formula1>
          <xm:sqref>A7:A21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Publisher xmlns="http://schemas.microsoft.com/sharepoint/v3/fields" xsi:nil="true"/>
    <RoutingRuleDescription xmlns="http://schemas.microsoft.com/sharepoint/v3" xsi:nil="true"/>
    <Actvt xmlns="917a1381-1d7f-4bea-b0fb-3ca54446c6e7">Fédération des syndicats de l'enseignement</Actvt>
    <f8587665e5c7469e96bfe242ded86e5d xmlns="917a1381-1d7f-4bea-b0fb-3ca54446c6e7">
      <Terms xmlns="http://schemas.microsoft.com/office/infopath/2007/PartnerControls"/>
    </f8587665e5c7469e96bfe242ded86e5d>
    <Contrb xmlns="917a1381-1d7f-4bea-b0fb-3ca54446c6e7">
      <UserInfo>
        <DisplayName/>
        <AccountId xsi:nil="true"/>
        <AccountType/>
      </UserInfo>
    </Contrb>
    <lb7118dd694e49a8a1432b69b9799bab xmlns="917a1381-1d7f-4bea-b0fb-3ca54446c6e7">
      <Terms xmlns="http://schemas.microsoft.com/office/infopath/2007/PartnerControls"/>
    </lb7118dd694e49a8a1432b69b9799bab>
    <Attributs_x0020_FSE xmlns="917a1381-1d7f-4bea-b0fb-3ca54446c6e7" xsi:nil="true"/>
    <TaxCatchAll xmlns="917a1381-1d7f-4bea-b0fb-3ca54446c6e7" xsi:nil="true"/>
    <AuteurPatrimonial xmlns="917a1381-1d7f-4bea-b0fb-3ca54446c6e7" xsi:nil="true"/>
    <Poste xmlns="917a1381-1d7f-4bea-b0fb-3ca54446c6e7">Conseiller en relations du travail</Poste>
    <IdPatrimonial xmlns="917a1381-1d7f-4bea-b0fb-3ca54446c6e7" xsi:nil="true"/>
    <Projet xmlns="917a1381-1d7f-4bea-b0fb-3ca54446c6e7" xsi:nil="true"/>
    <i455f69a3de94733bb4a07473af4041d xmlns="917a1381-1d7f-4bea-b0fb-3ca54446c6e7">
      <Terms xmlns="http://schemas.microsoft.com/office/infopath/2007/PartnerControls"/>
    </i455f69a3de94733bb4a07473af4041d>
    <Cote xmlns="917a1381-1d7f-4bea-b0fb-3ca54446c6e7" xsi:nil="true"/>
    <Date_x0020_de_x0020_création_x0020_du_x0020_document xmlns="917a1381-1d7f-4bea-b0fb-3ca54446c6e7">2024-06-26T18:40:25+00:00</Date_x0020_de_x0020_création_x0020_du_x0020_document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cheFSE" ma:contentTypeID="0x0101009F4EC44E5A5E9749A7B7FBB0A0494AAD0E008D12F71E695BCC4EA9200F7D9E26DE85" ma:contentTypeVersion="2" ma:contentTypeDescription="" ma:contentTypeScope="" ma:versionID="275543746c1c2548307aaeec2e6d2d95">
  <xsd:schema xmlns:xsd="http://www.w3.org/2001/XMLSchema" xmlns:xs="http://www.w3.org/2001/XMLSchema" xmlns:p="http://schemas.microsoft.com/office/2006/metadata/properties" xmlns:ns1="http://schemas.microsoft.com/sharepoint/v3" xmlns:ns2="917a1381-1d7f-4bea-b0fb-3ca54446c6e7" xmlns:ns3="http://schemas.microsoft.com/sharepoint/v3/fields" targetNamespace="http://schemas.microsoft.com/office/2006/metadata/properties" ma:root="true" ma:fieldsID="780f515408e84cef15ddbd80f57d3ed4" ns1:_="" ns2:_="" ns3:_="">
    <xsd:import namespace="http://schemas.microsoft.com/sharepoint/v3"/>
    <xsd:import namespace="917a1381-1d7f-4bea-b0fb-3ca54446c6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3:_Publisher" minOccurs="0"/>
                <xsd:element ref="ns2:Contrb" minOccurs="0"/>
                <xsd:element ref="ns2:Actvt" minOccurs="0"/>
                <xsd:element ref="ns2:Cote" minOccurs="0"/>
                <xsd:element ref="ns2:Poste" minOccurs="0"/>
                <xsd:element ref="ns2:Projet" minOccurs="0"/>
                <xsd:element ref="ns2:IdPatrimonial" minOccurs="0"/>
                <xsd:element ref="ns2:AuteurPatrimonial" minOccurs="0"/>
                <xsd:element ref="ns2:Date_x0020_de_x0020_création_x0020_du_x0020_document" minOccurs="0"/>
                <xsd:element ref="ns2:Attributs_x0020_FSE" minOccurs="0"/>
                <xsd:element ref="ns2:TaxCatchAllLabel" minOccurs="0"/>
                <xsd:element ref="ns2:lb7118dd694e49a8a1432b69b9799bab" minOccurs="0"/>
                <xsd:element ref="ns2:f8587665e5c7469e96bfe242ded86e5d" minOccurs="0"/>
                <xsd:element ref="ns2:TaxCatchAll" minOccurs="0"/>
                <xsd:element ref="ns2:i455f69a3de94733bb4a07473af4041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a1381-1d7f-4bea-b0fb-3ca54446c6e7" elementFormDefault="qualified">
    <xsd:import namespace="http://schemas.microsoft.com/office/2006/documentManagement/types"/>
    <xsd:import namespace="http://schemas.microsoft.com/office/infopath/2007/PartnerControls"/>
    <xsd:element name="Contrb" ma:index="6" nillable="true" ma:displayName="Contributeur" ma:list="UserInfo" ma:SharePointGroup="0" ma:internalName="Contrb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vt" ma:index="9" nillable="true" ma:displayName="Activité" ma:internalName="Actvt" ma:readOnly="false">
      <xsd:simpleType>
        <xsd:restriction base="dms:Text">
          <xsd:maxLength value="255"/>
        </xsd:restriction>
      </xsd:simpleType>
    </xsd:element>
    <xsd:element name="Cote" ma:index="10" nillable="true" ma:displayName="Cote" ma:internalName="Cote0" ma:readOnly="false">
      <xsd:simpleType>
        <xsd:restriction base="dms:Text">
          <xsd:maxLength value="100"/>
        </xsd:restriction>
      </xsd:simpleType>
    </xsd:element>
    <xsd:element name="Poste" ma:index="11" nillable="true" ma:displayName="Poste" ma:internalName="Poste" ma:readOnly="false">
      <xsd:simpleType>
        <xsd:restriction base="dms:Text">
          <xsd:maxLength value="255"/>
        </xsd:restriction>
      </xsd:simpleType>
    </xsd:element>
    <xsd:element name="Projet" ma:index="12" nillable="true" ma:displayName="Projet" ma:internalName="Projet" ma:readOnly="false">
      <xsd:simpleType>
        <xsd:restriction base="dms:Text">
          <xsd:maxLength value="255"/>
        </xsd:restriction>
      </xsd:simpleType>
    </xsd:element>
    <xsd:element name="IdPatrimonial" ma:index="13" nillable="true" ma:displayName="IdPatrimonial" ma:internalName="IdPatrimonial" ma:readOnly="false" ma:percentage="FALSE">
      <xsd:simpleType>
        <xsd:restriction base="dms:Number"/>
      </xsd:simpleType>
    </xsd:element>
    <xsd:element name="AuteurPatrimonial" ma:index="14" nillable="true" ma:displayName="AuteurPatrimonial" ma:internalName="AuteurPatrimonial" ma:readOnly="false">
      <xsd:simpleType>
        <xsd:restriction base="dms:Text">
          <xsd:maxLength value="255"/>
        </xsd:restriction>
      </xsd:simpleType>
    </xsd:element>
    <xsd:element name="Date_x0020_de_x0020_création_x0020_du_x0020_document" ma:index="15" nillable="true" ma:displayName="Création du document" ma:default="[today]" ma:description="Date de création du document gérée par la Centrale" ma:format="DateOnly" ma:internalName="Date_x0020_de_x0020_cr_x00e9_ation_x0020_du_x0020_document" ma:readOnly="false">
      <xsd:simpleType>
        <xsd:restriction base="dms:DateTime"/>
      </xsd:simpleType>
    </xsd:element>
    <xsd:element name="Attributs_x0020_FSE" ma:index="17" nillable="true" ma:displayName="Attributs FSE" ma:format="Dropdown" ma:internalName="Attributs_x0020_FSE" ma:readOnly="false">
      <xsd:simpleType>
        <xsd:restriction base="dms:Choice">
          <xsd:enumeration value="VPP-Réseau professionnel et pédagogique"/>
          <xsd:enumeration value="VPP-Réseau EDA"/>
          <xsd:enumeration value="VPP-Réseau FP"/>
          <xsd:enumeration value="VPP-EHDAA"/>
          <xsd:enumeration value="RLT-CIAC"/>
          <xsd:enumeration value="RLT-Réseau des applicateurs"/>
          <xsd:enumeration value="RLT-Réseau spécial"/>
          <xsd:enumeration value="RLT-Réseau des nouveaux"/>
          <xsd:enumeration value="RLT-Formations"/>
          <xsd:enumeration value="RLT-Autres"/>
        </xsd:restriction>
      </xsd:simpleType>
    </xsd:element>
    <xsd:element name="TaxCatchAllLabel" ma:index="18" nillable="true" ma:displayName="Taxonomy Catch All Column1" ma:hidden="true" ma:list="{6b603219-d60d-44a6-9298-1ee6cc25c3ee}" ma:internalName="TaxCatchAllLabel" ma:readOnly="true" ma:showField="CatchAllDataLabel" ma:web="cb93fe11-f6ba-447d-9b08-cf64cd960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b7118dd694e49a8a1432b69b9799bab" ma:index="19" nillable="true" ma:taxonomy="true" ma:internalName="lb7118dd694e49a8a1432b69b9799bab" ma:taxonomyFieldName="SrcDocmn" ma:displayName="Source du document" ma:readOnly="false" ma:fieldId="{5b7118dd-694e-49a8-a143-2b69b9799bab}" ma:sspId="560fdb7e-acc1-44d5-861a-23d65fba73c4" ma:termSetId="8cf0df15-b8da-47d3-9589-1ec439dfa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587665e5c7469e96bfe242ded86e5d" ma:index="24" nillable="true" ma:taxonomy="true" ma:internalName="f8587665e5c7469e96bfe242ded86e5d" ma:taxonomyFieldName="MotCle" ma:displayName="Mots clés CSQ" ma:readOnly="false" ma:fieldId="{f8587665-e5c7-469e-96bf-e242ded86e5d}" ma:taxonomyMulti="true" ma:sspId="560fdb7e-acc1-44d5-861a-23d65fba73c4" ma:termSetId="5d493032-9652-4df6-a656-cb0f1776af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hidden="true" ma:list="{6b603219-d60d-44a6-9298-1ee6cc25c3ee}" ma:internalName="TaxCatchAll" ma:readOnly="false" ma:showField="CatchAllData" ma:web="cb93fe11-f6ba-447d-9b08-cf64cd960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55f69a3de94733bb4a07473af4041d" ma:index="27" nillable="true" ma:taxonomy="true" ma:internalName="i455f69a3de94733bb4a07473af4041d" ma:taxonomyFieldName="CodeClass" ma:displayName="Code de classification" ma:indexed="true" ma:readOnly="false" ma:fieldId="{2455f69a-3de9-4733-bb4a-07473af4041d}" ma:sspId="560fdb7e-acc1-44d5-861a-23d65fba73c4" ma:termSetId="38c1e8e0-9623-4f36-b880-eac9f3d93b0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5" nillable="true" ma:displayName="Publisher" ma:description="Personne, organisation ou service qui a publié la ressource" ma:internalName="_Publish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Type de contenu"/>
        <xsd:element ref="dc:title" minOccurs="0" maxOccurs="1" ma:index="1" ma:displayName="Titre"/>
        <xsd:element ref="dc:subject" minOccurs="0" maxOccurs="1"/>
        <xsd:element ref="dc:description" minOccurs="0" maxOccurs="1" ma:index="3" ma:displayName="Commentaire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560fdb7e-acc1-44d5-861a-23d65fba73c4" ContentTypeId="0x0101009F4EC44E5A5E9749A7B7FBB0A0494AAD0E" PreviousValue="false" LastSyncTimeStamp="2022-02-26T19:57:55.77Z"/>
</file>

<file path=customXml/itemProps1.xml><?xml version="1.0" encoding="utf-8"?>
<ds:datastoreItem xmlns:ds="http://schemas.openxmlformats.org/officeDocument/2006/customXml" ds:itemID="{D2242B47-7F06-48CF-A4D9-2BBC555721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13037-B06C-4DC6-AF40-C2F4554E854D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917a1381-1d7f-4bea-b0fb-3ca54446c6e7"/>
  </ds:schemaRefs>
</ds:datastoreItem>
</file>

<file path=customXml/itemProps3.xml><?xml version="1.0" encoding="utf-8"?>
<ds:datastoreItem xmlns:ds="http://schemas.openxmlformats.org/officeDocument/2006/customXml" ds:itemID="{E9ABF419-166E-4576-9622-D7DACE4E2B83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F33FC0AE-98F8-4260-91E1-8A4D8DAE8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7a1381-1d7f-4bea-b0fb-3ca54446c6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8EF26F8-3469-400F-8BA2-B2005BA0557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pondération non défavorisé</vt:lpstr>
      <vt:lpstr>pondération défavorisé</vt:lpstr>
      <vt:lpstr>ann. 21 </vt:lpstr>
      <vt:lpstr>ann. 18 présc-prim</vt:lpstr>
      <vt:lpstr>ann. 18 sec-fp</vt:lpstr>
      <vt:lpstr>déterm.nbr élèves -présco</vt:lpstr>
      <vt:lpstr>déterm.nbr élèves - multiage</vt:lpstr>
      <vt:lpstr>déterm. nbre élèves- prim Non-D</vt:lpstr>
      <vt:lpstr>déterm.nbr élèves - GPAÉ Non-D</vt:lpstr>
      <vt:lpstr>déterm. nbr élèves - prim déf.</vt:lpstr>
      <vt:lpstr>déterm.nbre élèves -sec</vt:lpstr>
      <vt:lpstr>formules annexe 18</vt:lpstr>
      <vt:lpstr>données multiage</vt:lpstr>
      <vt:lpstr>type GPAE non defav</vt:lpstr>
      <vt:lpstr>feuil4</vt:lpstr>
    </vt:vector>
  </TitlesOfParts>
  <Manager/>
  <Company>Centrale des syndicats du Québec (CSQ)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calcul annexe 18 et 21</dc:title>
  <dc:subject/>
  <dc:creator>Utilisateur CSQ</dc:creator>
  <cp:keywords/>
  <dc:description/>
  <cp:lastModifiedBy>SERV - Info</cp:lastModifiedBy>
  <cp:revision/>
  <dcterms:created xsi:type="dcterms:W3CDTF">2018-09-06T14:10:36Z</dcterms:created>
  <dcterms:modified xsi:type="dcterms:W3CDTF">2025-09-15T18:40:38Z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0x0101009F4EC44E5A5E9749A7B7FBB0A0494AAD0E008D12F71E695BCC4EA9200F7D9E26DE85</vt:lpwstr>
  </property>
  <property fmtid="{D5CDD505-2E9C-101B-9397-08002B2CF9AE}" pid="3" name="SrcDocmn">
    <vt:lpwstr/>
  </property>
  <property fmtid="{D5CDD505-2E9C-101B-9397-08002B2CF9AE}" pid="4" name="CodeClass">
    <vt:lpwstr/>
  </property>
  <property fmtid="{D5CDD505-2E9C-101B-9397-08002B2CF9AE}" pid="5" name="MotCle">
    <vt:lpwstr/>
  </property>
</Properties>
</file>